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workbookProtection workbookAlgorithmName="SHA-512" workbookHashValue="FHIK19wNiAzjdwVQwhM/mLXYbWiJVdHzNRizyqO6CyJvoYvgjJhqFzMTMqXwJT87BZA8WuIYvMfZYeS4N5sKIw==" workbookSaltValue="B8eF+0KHkKDg+/nuBXhcgQ==" workbookSpinCount="100000" lockStructure="1"/>
  <bookViews>
    <workbookView xWindow="0" yWindow="0" windowWidth="20496" windowHeight="8832" firstSheet="1" activeTab="1"/>
  </bookViews>
  <sheets>
    <sheet name="更新履歴" sheetId="7" state="hidden" r:id="rId1"/>
    <sheet name="料金比較" sheetId="4" r:id="rId2"/>
    <sheet name="新料金" sheetId="3" r:id="rId3"/>
    <sheet name="1か月検針" sheetId="2" state="hidden" r:id="rId4"/>
    <sheet name="2か月検針" sheetId="1" state="hidden" r:id="rId5"/>
    <sheet name="2か月検針 (比較用)" sheetId="6" state="hidden" r:id="rId6"/>
    <sheet name="１か月検針（比較用）" sheetId="8" state="hidden" r:id="rId7"/>
    <sheet name="旧料金表" sheetId="5" state="hidden" r:id="rId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3" l="1"/>
  <c r="K8" i="3" l="1"/>
  <c r="I9" i="3" s="1"/>
  <c r="S6" i="1"/>
  <c r="Y8" i="1" s="1"/>
  <c r="S6" i="2"/>
  <c r="U8" i="2" s="1"/>
  <c r="K12" i="3"/>
  <c r="I13" i="3" s="1"/>
  <c r="K11" i="3"/>
  <c r="I12" i="3" s="1"/>
  <c r="K10" i="3"/>
  <c r="I11" i="3" s="1"/>
  <c r="K9" i="3"/>
  <c r="I10" i="3" s="1"/>
  <c r="T8" i="2" l="1"/>
  <c r="U9" i="1"/>
  <c r="V8" i="1"/>
  <c r="V8" i="2"/>
  <c r="O10" i="3" s="1"/>
  <c r="W8" i="2"/>
  <c r="U8" i="1"/>
  <c r="O9" i="3" s="1"/>
  <c r="X8" i="2"/>
  <c r="O12" i="3" s="1"/>
  <c r="Y8" i="2"/>
  <c r="O13" i="3" s="1"/>
  <c r="T8" i="1"/>
  <c r="T9" i="1"/>
  <c r="Y9" i="1"/>
  <c r="W8" i="1"/>
  <c r="X8" i="1"/>
  <c r="O11" i="3" l="1"/>
  <c r="O8" i="3"/>
  <c r="O14" i="3" l="1"/>
  <c r="S4" i="2"/>
  <c r="S8" i="2" l="1"/>
  <c r="E11" i="4"/>
  <c r="D1" i="5"/>
  <c r="B11" i="5" s="1"/>
  <c r="B12" i="5" s="1"/>
  <c r="B13" i="5" s="1"/>
  <c r="S18" i="2"/>
  <c r="Y21" i="2" s="1"/>
  <c r="S16" i="2"/>
  <c r="T22" i="2" s="1"/>
  <c r="S18" i="1"/>
  <c r="S16" i="1"/>
  <c r="S6" i="8"/>
  <c r="S4" i="8"/>
  <c r="T10" i="8" s="1"/>
  <c r="S4" i="6"/>
  <c r="Y9" i="8" l="1"/>
  <c r="T9" i="8"/>
  <c r="T21" i="2"/>
  <c r="V21" i="1"/>
  <c r="T21" i="1"/>
  <c r="S20" i="1"/>
  <c r="B11" i="4" s="1"/>
  <c r="T22" i="1"/>
  <c r="S20" i="2"/>
  <c r="B6" i="5"/>
  <c r="W21" i="1"/>
  <c r="Y21" i="1"/>
  <c r="X21" i="1"/>
  <c r="X21" i="2"/>
  <c r="V21" i="2"/>
  <c r="W21" i="2"/>
  <c r="U21" i="2"/>
  <c r="U21" i="1"/>
  <c r="S8" i="8"/>
  <c r="T10" i="6"/>
  <c r="W9" i="8"/>
  <c r="U9" i="8"/>
  <c r="V9" i="8"/>
  <c r="X9" i="8"/>
  <c r="S21" i="1" l="1"/>
  <c r="S22" i="1" s="1"/>
  <c r="B7" i="5"/>
  <c r="E12" i="4"/>
  <c r="E13" i="4" s="1"/>
  <c r="S9" i="8"/>
  <c r="S10" i="8" s="1"/>
  <c r="S11" i="8" s="1"/>
  <c r="S6" i="6" l="1"/>
  <c r="W9" i="6" s="1"/>
  <c r="S8" i="6"/>
  <c r="U9" i="6" l="1"/>
  <c r="Y9" i="6"/>
  <c r="X9" i="6"/>
  <c r="V9" i="6"/>
  <c r="T9" i="6"/>
  <c r="H6" i="5"/>
  <c r="H7" i="5" s="1"/>
  <c r="H8" i="5" s="1"/>
  <c r="G6" i="5"/>
  <c r="G7" i="5" s="1"/>
  <c r="G8" i="5" s="1"/>
  <c r="F6" i="5"/>
  <c r="F7" i="5" s="1"/>
  <c r="F8" i="5" s="1"/>
  <c r="E6" i="5"/>
  <c r="E7" i="5" s="1"/>
  <c r="E8" i="5" s="1"/>
  <c r="D6" i="5"/>
  <c r="D7" i="5" s="1"/>
  <c r="D8" i="5" s="1"/>
  <c r="C6" i="5"/>
  <c r="C7" i="5" s="1"/>
  <c r="C8" i="5" s="1"/>
  <c r="S9" i="6" l="1"/>
  <c r="B8" i="5"/>
  <c r="S10" i="6" l="1"/>
  <c r="E14" i="4"/>
  <c r="S4" i="1"/>
  <c r="T9" i="2" l="1"/>
  <c r="Q8" i="3" s="1"/>
  <c r="S21" i="2"/>
  <c r="S22" i="2" s="1"/>
  <c r="W9" i="1"/>
  <c r="V9" i="1"/>
  <c r="X9" i="1"/>
  <c r="B12" i="4"/>
  <c r="S8" i="1"/>
  <c r="T10" i="1"/>
  <c r="T10" i="2"/>
  <c r="S11" i="6"/>
  <c r="Y9" i="2"/>
  <c r="Q13" i="3" s="1"/>
  <c r="X9" i="2"/>
  <c r="W9" i="2"/>
  <c r="V9" i="2"/>
  <c r="U9" i="2"/>
  <c r="Q9" i="3" s="1"/>
  <c r="B9" i="3" l="1"/>
  <c r="S23" i="2"/>
  <c r="Q10" i="3"/>
  <c r="Q12" i="3"/>
  <c r="Q11" i="3"/>
  <c r="S9" i="2"/>
  <c r="S10" i="2" s="1"/>
  <c r="S9" i="1"/>
  <c r="S10" i="1" s="1"/>
  <c r="Q14" i="3" l="1"/>
  <c r="B10" i="3"/>
  <c r="S23" i="1"/>
  <c r="B14" i="4" s="1"/>
  <c r="B16" i="4" s="1"/>
  <c r="E16" i="4" s="1"/>
  <c r="B13" i="4"/>
  <c r="B11" i="3" l="1"/>
  <c r="B12" i="3" s="1"/>
  <c r="S11" i="1"/>
  <c r="S11" i="2"/>
</calcChain>
</file>

<file path=xl/sharedStrings.xml><?xml version="1.0" encoding="utf-8"?>
<sst xmlns="http://schemas.openxmlformats.org/spreadsheetml/2006/main" count="242" uniqueCount="106">
  <si>
    <t>シミュレーション料金体系</t>
    <rPh sb="8" eb="12">
      <t>リョウキンタイケイ</t>
    </rPh>
    <phoneticPr fontId="2"/>
  </si>
  <si>
    <t>水道料金シミュレーション</t>
    <rPh sb="0" eb="4">
      <t>スイドウリョウキン</t>
    </rPh>
    <phoneticPr fontId="1"/>
  </si>
  <si>
    <t>口径
用途</t>
    <rPh sb="0" eb="2">
      <t>コウケイ</t>
    </rPh>
    <rPh sb="3" eb="5">
      <t>ヨウト</t>
    </rPh>
    <phoneticPr fontId="2"/>
  </si>
  <si>
    <t>基本料金</t>
    <rPh sb="0" eb="4">
      <t>キホンリョウキン</t>
    </rPh>
    <phoneticPr fontId="2"/>
  </si>
  <si>
    <t>従量料金（㎥あたり）</t>
    <rPh sb="0" eb="2">
      <t>ジュウリョウ</t>
    </rPh>
    <rPh sb="2" eb="4">
      <t>リョウキン</t>
    </rPh>
    <phoneticPr fontId="2"/>
  </si>
  <si>
    <t>①自</t>
    <rPh sb="1" eb="2">
      <t>ジ</t>
    </rPh>
    <phoneticPr fontId="2"/>
  </si>
  <si>
    <t>①至</t>
    <rPh sb="1" eb="2">
      <t>イタル</t>
    </rPh>
    <phoneticPr fontId="2"/>
  </si>
  <si>
    <t>②自</t>
    <rPh sb="1" eb="2">
      <t>ジ</t>
    </rPh>
    <phoneticPr fontId="2"/>
  </si>
  <si>
    <t>②至</t>
    <rPh sb="1" eb="2">
      <t>イタル</t>
    </rPh>
    <phoneticPr fontId="2"/>
  </si>
  <si>
    <t>③自</t>
    <rPh sb="1" eb="2">
      <t>ジ</t>
    </rPh>
    <phoneticPr fontId="2"/>
  </si>
  <si>
    <t>③至</t>
    <rPh sb="1" eb="2">
      <t>イタル</t>
    </rPh>
    <phoneticPr fontId="2"/>
  </si>
  <si>
    <t>④自</t>
    <rPh sb="1" eb="2">
      <t>ジ</t>
    </rPh>
    <phoneticPr fontId="2"/>
  </si>
  <si>
    <t>④至</t>
    <rPh sb="1" eb="2">
      <t>イタル</t>
    </rPh>
    <phoneticPr fontId="2"/>
  </si>
  <si>
    <t>⑤自</t>
    <rPh sb="1" eb="2">
      <t>ジ</t>
    </rPh>
    <phoneticPr fontId="2"/>
  </si>
  <si>
    <t>⑤至</t>
    <rPh sb="1" eb="2">
      <t>イタル</t>
    </rPh>
    <phoneticPr fontId="2"/>
  </si>
  <si>
    <t>⑥自</t>
    <rPh sb="1" eb="2">
      <t>ジ</t>
    </rPh>
    <phoneticPr fontId="2"/>
  </si>
  <si>
    <t>⑥至</t>
    <rPh sb="1" eb="2">
      <t>イタル</t>
    </rPh>
    <phoneticPr fontId="2"/>
  </si>
  <si>
    <t>⑦自</t>
    <rPh sb="1" eb="2">
      <t>ジ</t>
    </rPh>
    <phoneticPr fontId="2"/>
  </si>
  <si>
    <t>⑦至</t>
    <rPh sb="1" eb="2">
      <t>イタル</t>
    </rPh>
    <phoneticPr fontId="2"/>
  </si>
  <si>
    <t>メーター口径</t>
    <rPh sb="4" eb="6">
      <t>コウケイ</t>
    </rPh>
    <phoneticPr fontId="1"/>
  </si>
  <si>
    <t>使用水量</t>
    <rPh sb="0" eb="4">
      <t>シヨウスイリョウ</t>
    </rPh>
    <phoneticPr fontId="1"/>
  </si>
  <si>
    <t>公衆浴場</t>
    <rPh sb="0" eb="4">
      <t>コウシュウヨクジョウ</t>
    </rPh>
    <phoneticPr fontId="2"/>
  </si>
  <si>
    <t>公立プール</t>
    <rPh sb="0" eb="2">
      <t>コウリツ</t>
    </rPh>
    <phoneticPr fontId="2"/>
  </si>
  <si>
    <t>臨時用</t>
    <rPh sb="0" eb="3">
      <t>リンジヨウ</t>
    </rPh>
    <phoneticPr fontId="2"/>
  </si>
  <si>
    <t>基本料金</t>
    <rPh sb="0" eb="4">
      <t>キホンリョウキン</t>
    </rPh>
    <phoneticPr fontId="1"/>
  </si>
  <si>
    <t>従量料金</t>
    <rPh sb="0" eb="2">
      <t>ジュウリョウ</t>
    </rPh>
    <rPh sb="2" eb="4">
      <t>リョウキン</t>
    </rPh>
    <phoneticPr fontId="1"/>
  </si>
  <si>
    <t>水道料金</t>
    <rPh sb="0" eb="4">
      <t>スイドウリョウキン</t>
    </rPh>
    <phoneticPr fontId="1"/>
  </si>
  <si>
    <t>消費税</t>
    <rPh sb="0" eb="3">
      <t>ショウヒゼイ</t>
    </rPh>
    <phoneticPr fontId="1"/>
  </si>
  <si>
    <t>１か月検針</t>
    <rPh sb="2" eb="3">
      <t>ゲツ</t>
    </rPh>
    <rPh sb="3" eb="5">
      <t>ケンシン</t>
    </rPh>
    <phoneticPr fontId="1"/>
  </si>
  <si>
    <t>２か月検針</t>
    <rPh sb="2" eb="3">
      <t>ゲツ</t>
    </rPh>
    <rPh sb="3" eb="5">
      <t>ケンシン</t>
    </rPh>
    <phoneticPr fontId="1"/>
  </si>
  <si>
    <t>水道料金比較表</t>
    <rPh sb="0" eb="2">
      <t>スイドウ</t>
    </rPh>
    <rPh sb="2" eb="4">
      <t>リョウキン</t>
    </rPh>
    <rPh sb="4" eb="6">
      <t>ヒカク</t>
    </rPh>
    <rPh sb="6" eb="7">
      <t>ヒョウ</t>
    </rPh>
    <phoneticPr fontId="1"/>
  </si>
  <si>
    <t>使用量</t>
    <rPh sb="0" eb="3">
      <t>シヨウリョウ</t>
    </rPh>
    <phoneticPr fontId="1"/>
  </si>
  <si>
    <t>三郷市</t>
    <rPh sb="0" eb="3">
      <t>ミサトシ</t>
    </rPh>
    <phoneticPr fontId="1"/>
  </si>
  <si>
    <t>一般家庭
営業用</t>
    <rPh sb="0" eb="2">
      <t>イッパン</t>
    </rPh>
    <rPh sb="2" eb="4">
      <t>カテイ</t>
    </rPh>
    <rPh sb="5" eb="8">
      <t>エイギョウヨウ</t>
    </rPh>
    <phoneticPr fontId="1"/>
  </si>
  <si>
    <t>官公署</t>
    <rPh sb="0" eb="3">
      <t>カンコウショ</t>
    </rPh>
    <phoneticPr fontId="1"/>
  </si>
  <si>
    <t>工場</t>
    <rPh sb="0" eb="2">
      <t>コウジョウ</t>
    </rPh>
    <phoneticPr fontId="1"/>
  </si>
  <si>
    <t>病院</t>
    <rPh sb="0" eb="2">
      <t>ビョウイン</t>
    </rPh>
    <phoneticPr fontId="1"/>
  </si>
  <si>
    <t>学校</t>
    <rPh sb="0" eb="2">
      <t>ガッコウ</t>
    </rPh>
    <phoneticPr fontId="1"/>
  </si>
  <si>
    <t>浴場営業</t>
    <rPh sb="0" eb="2">
      <t>ヨクジョウ</t>
    </rPh>
    <rPh sb="2" eb="4">
      <t>エイギョウ</t>
    </rPh>
    <phoneticPr fontId="1"/>
  </si>
  <si>
    <t>公立
プール</t>
    <rPh sb="0" eb="2">
      <t>コウリツ</t>
    </rPh>
    <phoneticPr fontId="1"/>
  </si>
  <si>
    <t>基本料金</t>
    <rPh sb="0" eb="2">
      <t>キホン</t>
    </rPh>
    <rPh sb="2" eb="4">
      <t>リョウキン</t>
    </rPh>
    <phoneticPr fontId="1"/>
  </si>
  <si>
    <t>-</t>
    <phoneticPr fontId="1"/>
  </si>
  <si>
    <t>10㎥まで</t>
    <phoneticPr fontId="1"/>
  </si>
  <si>
    <t>40㎥まで</t>
    <phoneticPr fontId="1"/>
  </si>
  <si>
    <t>超過料金</t>
    <rPh sb="0" eb="2">
      <t>チョウカ</t>
    </rPh>
    <rPh sb="2" eb="4">
      <t>リョウキン</t>
    </rPh>
    <phoneticPr fontId="1"/>
  </si>
  <si>
    <t>合計</t>
    <rPh sb="0" eb="2">
      <t>ゴウケイ</t>
    </rPh>
    <phoneticPr fontId="1"/>
  </si>
  <si>
    <t>（税込）</t>
    <rPh sb="1" eb="3">
      <t>ゼイコミ</t>
    </rPh>
    <phoneticPr fontId="1"/>
  </si>
  <si>
    <t>※2か月検針</t>
    <rPh sb="3" eb="4">
      <t>ゲツ</t>
    </rPh>
    <rPh sb="4" eb="6">
      <t>ケンシン</t>
    </rPh>
    <phoneticPr fontId="1"/>
  </si>
  <si>
    <t>⇒1か月検針</t>
    <rPh sb="3" eb="6">
      <t>ゲツケンシン</t>
    </rPh>
    <phoneticPr fontId="1"/>
  </si>
  <si>
    <t>新料金</t>
    <rPh sb="0" eb="3">
      <t>シンリョウキン</t>
    </rPh>
    <phoneticPr fontId="1"/>
  </si>
  <si>
    <t>改定率</t>
    <rPh sb="0" eb="3">
      <t>カイテイリツ</t>
    </rPh>
    <phoneticPr fontId="1"/>
  </si>
  <si>
    <t>【更新履歴】</t>
    <rPh sb="1" eb="3">
      <t>コウシン</t>
    </rPh>
    <rPh sb="3" eb="5">
      <t>リレキ</t>
    </rPh>
    <phoneticPr fontId="1"/>
  </si>
  <si>
    <t>更新日付</t>
    <rPh sb="0" eb="2">
      <t>コウシン</t>
    </rPh>
    <rPh sb="2" eb="4">
      <t>ヒヅケ</t>
    </rPh>
    <phoneticPr fontId="1"/>
  </si>
  <si>
    <t>内容</t>
    <rPh sb="0" eb="2">
      <t>ナイヨウ</t>
    </rPh>
    <phoneticPr fontId="1"/>
  </si>
  <si>
    <t>使用水量の負の値の入力を制限</t>
    <rPh sb="0" eb="4">
      <t>シヨウスイリョウ</t>
    </rPh>
    <rPh sb="5" eb="6">
      <t>フ</t>
    </rPh>
    <rPh sb="7" eb="8">
      <t>アタイ</t>
    </rPh>
    <rPh sb="9" eb="11">
      <t>ニュウリョク</t>
    </rPh>
    <rPh sb="12" eb="14">
      <t>セイゲン</t>
    </rPh>
    <phoneticPr fontId="1"/>
  </si>
  <si>
    <t>初版作成</t>
    <rPh sb="0" eb="2">
      <t>ショバン</t>
    </rPh>
    <rPh sb="2" eb="4">
      <t>サクセイ</t>
    </rPh>
    <phoneticPr fontId="1"/>
  </si>
  <si>
    <t>臨時用メータの料金を追加</t>
    <rPh sb="0" eb="3">
      <t>リンジヨウ</t>
    </rPh>
    <rPh sb="7" eb="9">
      <t>リョウキン</t>
    </rPh>
    <rPh sb="10" eb="12">
      <t>ツイカ</t>
    </rPh>
    <phoneticPr fontId="1"/>
  </si>
  <si>
    <t>料金比較</t>
    <rPh sb="0" eb="2">
      <t>リョウキン</t>
    </rPh>
    <rPh sb="2" eb="4">
      <t>ヒカク</t>
    </rPh>
    <phoneticPr fontId="1"/>
  </si>
  <si>
    <t>料金比較</t>
    <rPh sb="0" eb="4">
      <t>リョウキンヒカク</t>
    </rPh>
    <phoneticPr fontId="1"/>
  </si>
  <si>
    <t>2か月</t>
    <rPh sb="2" eb="3">
      <t>ゲツ</t>
    </rPh>
    <phoneticPr fontId="1"/>
  </si>
  <si>
    <t>1か月</t>
    <rPh sb="2" eb="3">
      <t>ゲツ</t>
    </rPh>
    <phoneticPr fontId="1"/>
  </si>
  <si>
    <t>検針期間</t>
    <rPh sb="0" eb="2">
      <t>ケンシン</t>
    </rPh>
    <rPh sb="2" eb="4">
      <t>キカン</t>
    </rPh>
    <phoneticPr fontId="1"/>
  </si>
  <si>
    <t>新水道料金シミュレーション</t>
    <rPh sb="0" eb="1">
      <t>シン</t>
    </rPh>
    <rPh sb="1" eb="5">
      <t>スイドウリョウキン</t>
    </rPh>
    <phoneticPr fontId="1"/>
  </si>
  <si>
    <t>検針期間</t>
    <rPh sb="0" eb="2">
      <t>ケンシン</t>
    </rPh>
    <rPh sb="2" eb="4">
      <t>キカン</t>
    </rPh>
    <phoneticPr fontId="1"/>
  </si>
  <si>
    <t>※</t>
    <phoneticPr fontId="1"/>
  </si>
  <si>
    <t>①</t>
    <phoneticPr fontId="1"/>
  </si>
  <si>
    <t>②</t>
    <phoneticPr fontId="1"/>
  </si>
  <si>
    <t>③</t>
    <phoneticPr fontId="1"/>
  </si>
  <si>
    <t>メーター
口径</t>
    <rPh sb="5" eb="7">
      <t>コウケイ</t>
    </rPh>
    <phoneticPr fontId="1"/>
  </si>
  <si>
    <t>単価</t>
    <rPh sb="0" eb="2">
      <t>タンカ</t>
    </rPh>
    <phoneticPr fontId="1"/>
  </si>
  <si>
    <t>金額</t>
    <rPh sb="0" eb="2">
      <t>キンガク</t>
    </rPh>
    <phoneticPr fontId="1"/>
  </si>
  <si>
    <t>～</t>
    <phoneticPr fontId="1"/>
  </si>
  <si>
    <t>㎥まで</t>
    <phoneticPr fontId="1"/>
  </si>
  <si>
    <t>水量内訳</t>
    <rPh sb="0" eb="2">
      <t>スイリョウ</t>
    </rPh>
    <rPh sb="2" eb="4">
      <t>ウチワケ</t>
    </rPh>
    <phoneticPr fontId="1"/>
  </si>
  <si>
    <t>1～20</t>
    <phoneticPr fontId="1"/>
  </si>
  <si>
    <t>21～40</t>
    <phoneticPr fontId="1"/>
  </si>
  <si>
    <t>41～60</t>
    <phoneticPr fontId="1"/>
  </si>
  <si>
    <t>61～80</t>
    <phoneticPr fontId="1"/>
  </si>
  <si>
    <t>81～100</t>
    <phoneticPr fontId="1"/>
  </si>
  <si>
    <t>101～</t>
    <phoneticPr fontId="1"/>
  </si>
  <si>
    <t>1～10</t>
    <phoneticPr fontId="1"/>
  </si>
  <si>
    <t>11～20</t>
    <phoneticPr fontId="1"/>
  </si>
  <si>
    <t>21～30</t>
    <phoneticPr fontId="1"/>
  </si>
  <si>
    <t>31～40</t>
    <phoneticPr fontId="1"/>
  </si>
  <si>
    <t>41～50</t>
    <phoneticPr fontId="1"/>
  </si>
  <si>
    <t>51～</t>
    <phoneticPr fontId="1"/>
  </si>
  <si>
    <t>合計</t>
    <rPh sb="0" eb="2">
      <t>ゴウケイ</t>
    </rPh>
    <phoneticPr fontId="1"/>
  </si>
  <si>
    <t>×</t>
    <phoneticPr fontId="1"/>
  </si>
  <si>
    <t>=</t>
    <phoneticPr fontId="1"/>
  </si>
  <si>
    <t>※従量料金内訳</t>
    <rPh sb="1" eb="5">
      <t>ジュウリョウリョウキン</t>
    </rPh>
    <rPh sb="5" eb="7">
      <t>ウチワケ</t>
    </rPh>
    <phoneticPr fontId="1"/>
  </si>
  <si>
    <t>使用水量</t>
    <rPh sb="0" eb="2">
      <t>シヨウ</t>
    </rPh>
    <rPh sb="2" eb="4">
      <t>スイリョウ</t>
    </rPh>
    <phoneticPr fontId="1"/>
  </si>
  <si>
    <t>現行料金</t>
    <rPh sb="0" eb="2">
      <t>ゲンコウ</t>
    </rPh>
    <rPh sb="2" eb="4">
      <t>リョウキン</t>
    </rPh>
    <phoneticPr fontId="1"/>
  </si>
  <si>
    <t>差額</t>
    <rPh sb="0" eb="2">
      <t>サガク</t>
    </rPh>
    <phoneticPr fontId="1"/>
  </si>
  <si>
    <t>（１）次のような「水道使用量のお知らせ」をお手元にご用意ください。</t>
    <phoneticPr fontId="11"/>
  </si>
  <si>
    <r>
      <rPr>
        <sz val="12"/>
        <color rgb="FF000000"/>
        <rFont val="BIZ UDPゴシック"/>
        <family val="3"/>
        <charset val="128"/>
      </rPr>
      <t xml:space="preserve">(2)「水道使用量のお知らせ」を確認しながら </t>
    </r>
    <r>
      <rPr>
        <b/>
        <sz val="12"/>
        <color theme="9" tint="-0.249977111117893"/>
        <rFont val="BIZ UDPゴシック"/>
        <family val="3"/>
        <charset val="128"/>
      </rPr>
      <t>□ 緑枠内</t>
    </r>
    <r>
      <rPr>
        <b/>
        <sz val="12"/>
        <color rgb="FFFF0000"/>
        <rFont val="BIZ UDPゴシック"/>
        <family val="3"/>
        <charset val="128"/>
      </rPr>
      <t xml:space="preserve"> </t>
    </r>
    <r>
      <rPr>
        <sz val="12"/>
        <rFont val="BIZ UDPゴシック"/>
        <family val="3"/>
        <charset val="128"/>
      </rPr>
      <t>の</t>
    </r>
    <r>
      <rPr>
        <sz val="12"/>
        <color rgb="FF000000"/>
        <rFont val="BIZ UDPゴシック"/>
        <family val="3"/>
        <charset val="128"/>
      </rPr>
      <t xml:space="preserve"> </t>
    </r>
    <r>
      <rPr>
        <b/>
        <sz val="12"/>
        <color rgb="FFFFC000"/>
        <rFont val="BIZ UDPゴシック"/>
        <family val="3"/>
        <charset val="128"/>
      </rPr>
      <t>①検針期間</t>
    </r>
    <r>
      <rPr>
        <sz val="12"/>
        <color rgb="FF000000"/>
        <rFont val="BIZ UDPゴシック"/>
        <family val="3"/>
        <charset val="128"/>
      </rPr>
      <t xml:space="preserve">  </t>
    </r>
    <r>
      <rPr>
        <b/>
        <sz val="12"/>
        <color rgb="FF00B050"/>
        <rFont val="BIZ UDPゴシック"/>
        <family val="3"/>
        <charset val="128"/>
      </rPr>
      <t>②メーター口径</t>
    </r>
    <r>
      <rPr>
        <b/>
        <sz val="12"/>
        <color rgb="FF0070C0"/>
        <rFont val="BIZ UDPゴシック"/>
        <family val="3"/>
        <charset val="128"/>
      </rPr>
      <t xml:space="preserve"> </t>
    </r>
    <r>
      <rPr>
        <b/>
        <sz val="12"/>
        <color rgb="FF7030A0"/>
        <rFont val="BIZ UDPゴシック"/>
        <family val="3"/>
        <charset val="128"/>
      </rPr>
      <t>③使用水量</t>
    </r>
    <r>
      <rPr>
        <b/>
        <sz val="12"/>
        <color rgb="FF0070C0"/>
        <rFont val="BIZ UDPゴシック"/>
        <family val="3"/>
        <charset val="128"/>
      </rPr>
      <t xml:space="preserve"> </t>
    </r>
    <r>
      <rPr>
        <sz val="12"/>
        <color rgb="FF000000"/>
        <rFont val="BIZ UDPゴシック"/>
        <family val="3"/>
        <charset val="128"/>
      </rPr>
      <t>をご入力ください。</t>
    </r>
    <rPh sb="4" eb="6">
      <t>スイドウ</t>
    </rPh>
    <rPh sb="6" eb="9">
      <t>シヨウリョウ</t>
    </rPh>
    <rPh sb="11" eb="12">
      <t>シ</t>
    </rPh>
    <rPh sb="16" eb="18">
      <t>カクニン</t>
    </rPh>
    <rPh sb="25" eb="26">
      <t>ミドリ</t>
    </rPh>
    <rPh sb="26" eb="28">
      <t>ワクナイ</t>
    </rPh>
    <rPh sb="32" eb="34">
      <t>ケンシン</t>
    </rPh>
    <rPh sb="34" eb="36">
      <t>キカン</t>
    </rPh>
    <rPh sb="43" eb="45">
      <t>コウケイ</t>
    </rPh>
    <rPh sb="47" eb="49">
      <t>シヨウ</t>
    </rPh>
    <rPh sb="49" eb="51">
      <t>スイリョウ</t>
    </rPh>
    <rPh sb="54" eb="56">
      <t>ニュウリョク</t>
    </rPh>
    <phoneticPr fontId="11"/>
  </si>
  <si>
    <t>※任意の使用水量を入力することもできます。</t>
    <rPh sb="9" eb="11">
      <t>ニュウリョク</t>
    </rPh>
    <phoneticPr fontId="1"/>
  </si>
  <si>
    <r>
      <rPr>
        <b/>
        <sz val="11"/>
        <color theme="7"/>
        <rFont val="BIZ UDPゴシック"/>
        <family val="3"/>
        <charset val="128"/>
      </rPr>
      <t>①検針期間</t>
    </r>
    <r>
      <rPr>
        <sz val="11"/>
        <color theme="1"/>
        <rFont val="BIZ UDPゴシック"/>
        <family val="3"/>
        <charset val="128"/>
      </rPr>
      <t>は「水道使用量のお知らせ」の「使用期間」をご確認いただき、「２か月検針」または「１か月検針」を選んでください。</t>
    </r>
    <phoneticPr fontId="1"/>
  </si>
  <si>
    <r>
      <rPr>
        <b/>
        <sz val="11"/>
        <color rgb="FF00B050"/>
        <rFont val="BIZ UDPゴシック"/>
        <family val="3"/>
        <charset val="128"/>
      </rPr>
      <t>②メーター口径</t>
    </r>
    <r>
      <rPr>
        <sz val="11"/>
        <color theme="1"/>
        <rFont val="BIZ UDPゴシック"/>
        <family val="3"/>
        <charset val="128"/>
      </rPr>
      <t>は「水道使用量のお知らせ」のうち、「口径」と同じメーター口径を選んでください。</t>
    </r>
    <phoneticPr fontId="1"/>
  </si>
  <si>
    <r>
      <rPr>
        <b/>
        <sz val="11"/>
        <color rgb="FF7030A0"/>
        <rFont val="BIZ UDPゴシック"/>
        <family val="3"/>
        <charset val="128"/>
      </rPr>
      <t>③使用水量</t>
    </r>
    <r>
      <rPr>
        <sz val="11"/>
        <color theme="1"/>
        <rFont val="BIZ UDPゴシック"/>
        <family val="3"/>
        <charset val="128"/>
      </rPr>
      <t>は「水道使用量のお知らせ」のうち、「上水道」欄に記載の「使用水量」の数値を入力してください。</t>
    </r>
    <phoneticPr fontId="1"/>
  </si>
  <si>
    <t>（３）　（２）の入力が完了すると「新料金」、「現行料金」、「差額」、「改定率」を確認することができます。</t>
    <phoneticPr fontId="1"/>
  </si>
  <si>
    <t>水道料金比較シミュレーション
(一般家庭用)</t>
    <rPh sb="0" eb="4">
      <t>スイドウリョウキン</t>
    </rPh>
    <rPh sb="4" eb="6">
      <t>ヒカク</t>
    </rPh>
    <rPh sb="16" eb="21">
      <t>イッパンカテイヨウ</t>
    </rPh>
    <phoneticPr fontId="1"/>
  </si>
  <si>
    <r>
      <rPr>
        <sz val="11"/>
        <color rgb="FF000000"/>
        <rFont val="BIZ UDPゴシック"/>
        <family val="3"/>
        <charset val="128"/>
      </rPr>
      <t xml:space="preserve">○ </t>
    </r>
    <r>
      <rPr>
        <b/>
        <sz val="12"/>
        <color rgb="FFFF0000"/>
        <rFont val="BIZ UDPゴシック"/>
        <family val="3"/>
        <charset val="128"/>
      </rPr>
      <t xml:space="preserve">□ 赤枠内 </t>
    </r>
    <r>
      <rPr>
        <sz val="11"/>
        <color rgb="FF000000"/>
        <rFont val="BIZ UDPゴシック"/>
        <family val="3"/>
        <charset val="128"/>
      </rPr>
      <t xml:space="preserve">に </t>
    </r>
    <r>
      <rPr>
        <b/>
        <sz val="11"/>
        <color rgb="FFFFC000"/>
        <rFont val="BIZ UDPゴシック"/>
        <family val="3"/>
        <charset val="128"/>
      </rPr>
      <t>①</t>
    </r>
    <r>
      <rPr>
        <b/>
        <sz val="12"/>
        <color rgb="FFFFC000"/>
        <rFont val="BIZ UDPゴシック"/>
        <family val="3"/>
        <charset val="128"/>
      </rPr>
      <t>検針期間</t>
    </r>
    <r>
      <rPr>
        <sz val="11"/>
        <color rgb="FF000000"/>
        <rFont val="BIZ UDPゴシック"/>
        <family val="3"/>
        <charset val="128"/>
      </rPr>
      <t xml:space="preserve"> と </t>
    </r>
    <r>
      <rPr>
        <b/>
        <sz val="11"/>
        <color rgb="FF00B050"/>
        <rFont val="BIZ UDPゴシック"/>
        <family val="3"/>
        <charset val="128"/>
      </rPr>
      <t>②</t>
    </r>
    <r>
      <rPr>
        <b/>
        <sz val="12"/>
        <color rgb="FF00B050"/>
        <rFont val="BIZ UDPゴシック"/>
        <family val="3"/>
        <charset val="128"/>
      </rPr>
      <t>メーター口径</t>
    </r>
    <r>
      <rPr>
        <b/>
        <sz val="12"/>
        <color rgb="FF0070C0"/>
        <rFont val="BIZ UDPゴシック"/>
        <family val="3"/>
        <charset val="128"/>
      </rPr>
      <t xml:space="preserve"> </t>
    </r>
    <r>
      <rPr>
        <sz val="11"/>
        <color rgb="FF000000"/>
        <rFont val="BIZ UDPゴシック"/>
        <family val="3"/>
        <charset val="128"/>
      </rPr>
      <t xml:space="preserve">と </t>
    </r>
    <r>
      <rPr>
        <b/>
        <sz val="11"/>
        <color rgb="FF7030A0"/>
        <rFont val="BIZ UDPゴシック"/>
        <family val="3"/>
        <charset val="128"/>
      </rPr>
      <t>③</t>
    </r>
    <r>
      <rPr>
        <b/>
        <sz val="12"/>
        <color rgb="FF7030A0"/>
        <rFont val="BIZ UDPゴシック"/>
        <family val="3"/>
        <charset val="128"/>
      </rPr>
      <t>使用水量</t>
    </r>
    <r>
      <rPr>
        <b/>
        <sz val="12"/>
        <color rgb="FF0070C0"/>
        <rFont val="BIZ UDPゴシック"/>
        <family val="3"/>
        <charset val="128"/>
      </rPr>
      <t xml:space="preserve"> </t>
    </r>
    <r>
      <rPr>
        <sz val="11"/>
        <color rgb="FF000000"/>
        <rFont val="BIZ UDPゴシック"/>
        <family val="3"/>
        <charset val="128"/>
      </rPr>
      <t>を入れると、水道料金が表示されます。</t>
    </r>
    <rPh sb="4" eb="5">
      <t>アカ</t>
    </rPh>
    <rPh sb="5" eb="7">
      <t>ワクナイ</t>
    </rPh>
    <rPh sb="11" eb="13">
      <t>ケンシン</t>
    </rPh>
    <rPh sb="13" eb="15">
      <t>キカン</t>
    </rPh>
    <rPh sb="23" eb="25">
      <t>コウケイ</t>
    </rPh>
    <rPh sb="29" eb="31">
      <t>シヨウ</t>
    </rPh>
    <rPh sb="31" eb="33">
      <t>スイリョウ</t>
    </rPh>
    <rPh sb="35" eb="36">
      <t>イ</t>
    </rPh>
    <rPh sb="40" eb="42">
      <t>スイドウ</t>
    </rPh>
    <rPh sb="42" eb="44">
      <t>リョウキン</t>
    </rPh>
    <rPh sb="45" eb="47">
      <t>ヒョウジ</t>
    </rPh>
    <phoneticPr fontId="11"/>
  </si>
  <si>
    <t>○お手元に「水道使用量のお知らせ」をご用意ください。</t>
    <rPh sb="2" eb="4">
      <t>テモト</t>
    </rPh>
    <rPh sb="6" eb="8">
      <t>スイドウ</t>
    </rPh>
    <rPh sb="8" eb="11">
      <t>シヨウリョウ</t>
    </rPh>
    <rPh sb="13" eb="14">
      <t>シ</t>
    </rPh>
    <rPh sb="19" eb="21">
      <t>ヨウイ</t>
    </rPh>
    <phoneticPr fontId="11"/>
  </si>
  <si>
    <r>
      <t>○水道料金のみのシミュレーションです。</t>
    </r>
    <r>
      <rPr>
        <b/>
        <u/>
        <sz val="11"/>
        <color rgb="FF000000"/>
        <rFont val="BIZ UDPゴシック"/>
        <family val="3"/>
        <charset val="128"/>
      </rPr>
      <t>下水道使用料は計算に含まれません。</t>
    </r>
    <rPh sb="1" eb="3">
      <t>スイドウ</t>
    </rPh>
    <rPh sb="3" eb="5">
      <t>リョウキン</t>
    </rPh>
    <rPh sb="19" eb="22">
      <t>ゲスイドウ</t>
    </rPh>
    <rPh sb="22" eb="25">
      <t>シヨウリョウ</t>
    </rPh>
    <rPh sb="26" eb="28">
      <t>ケイサン</t>
    </rPh>
    <rPh sb="29" eb="30">
      <t>フク</t>
    </rPh>
    <phoneticPr fontId="11"/>
  </si>
  <si>
    <t>○臨時用メーターは基本的に1か月検針となります。</t>
    <rPh sb="1" eb="4">
      <t>リンジヨウ</t>
    </rPh>
    <rPh sb="9" eb="12">
      <t>キホンテキ</t>
    </rPh>
    <rPh sb="15" eb="16">
      <t>ゲツ</t>
    </rPh>
    <rPh sb="16" eb="18">
      <t>ケンシン</t>
    </rPh>
    <phoneticPr fontId="11"/>
  </si>
  <si>
    <t>※「水道使用量のお知らせ」とは検針後に投函もしくは郵送される書類で使用水量や使用期間等が記載されたものです。</t>
    <rPh sb="2" eb="4">
      <t>スイドウ</t>
    </rPh>
    <rPh sb="4" eb="7">
      <t>シヨウリョウ</t>
    </rPh>
    <rPh sb="9" eb="10">
      <t>シ</t>
    </rPh>
    <rPh sb="15" eb="17">
      <t>ケンシン</t>
    </rPh>
    <rPh sb="17" eb="18">
      <t>ゴ</t>
    </rPh>
    <rPh sb="19" eb="21">
      <t>トウカン</t>
    </rPh>
    <rPh sb="25" eb="27">
      <t>ユウソウ</t>
    </rPh>
    <rPh sb="30" eb="32">
      <t>ショルイ</t>
    </rPh>
    <rPh sb="33" eb="35">
      <t>シヨウ</t>
    </rPh>
    <rPh sb="35" eb="37">
      <t>スイリョウ</t>
    </rPh>
    <rPh sb="38" eb="40">
      <t>シヨウ</t>
    </rPh>
    <rPh sb="40" eb="42">
      <t>キカン</t>
    </rPh>
    <rPh sb="42" eb="43">
      <t>トウ</t>
    </rPh>
    <rPh sb="44" eb="46">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</si>
</sst>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quot;～&quot;"/>
    <numFmt numFmtId="177" formatCode="0&quot;㎥&quot;"/>
    <numFmt numFmtId="178" formatCode="0&quot;㎜&quot;"/>
    <numFmt numFmtId="179" formatCode="#,###&quot;円&quot;"/>
    <numFmt numFmtId="180" formatCode="0&quot;円&quot;"/>
    <numFmt numFmtId="181" formatCode="#,##0&quot;円&quot;"/>
    <numFmt numFmtId="182" formatCode="#,##0&quot;㎥&quot;"/>
    <numFmt numFmtId="183" formatCode="0.0%"/>
  </numFmts>
  <fonts count="39" x14ac:knownFonts="1">
    <font>
      <sz val="11"/>
      <color theme="1"/>
      <name val="游ゴシック"/>
      <family val="2"/>
      <charset val="128"/>
      <scheme val="minor"/>
    </font>
    <font>
      <sz val="6"/>
      <name val="游ゴシック"/>
      <family val="2"/>
      <charset val="128"/>
      <scheme val="minor"/>
    </font>
    <font>
      <sz val="6"/>
      <name val="游ゴシック"/>
      <family val="3"/>
      <charset val="128"/>
      <scheme val="minor"/>
    </font>
    <font>
      <sz val="11"/>
      <color rgb="FFFF0000"/>
      <name val="游ゴシック"/>
      <family val="2"/>
      <charset val="128"/>
      <scheme val="minor"/>
    </font>
    <font>
      <sz val="12"/>
      <color theme="1"/>
      <name val="BIZ UDPゴシック"/>
      <family val="3"/>
      <charset val="128"/>
    </font>
    <font>
      <sz val="14"/>
      <color theme="1"/>
      <name val="BIZ UDPゴシック"/>
      <family val="3"/>
      <charset val="128"/>
    </font>
    <font>
      <b/>
      <sz val="18"/>
      <color theme="0"/>
      <name val="BIZ UDPゴシック"/>
      <family val="3"/>
      <charset val="128"/>
    </font>
    <font>
      <b/>
      <sz val="11"/>
      <color rgb="FF000000"/>
      <name val="BIZ UDPゴシック"/>
      <family val="3"/>
      <charset val="128"/>
    </font>
    <font>
      <sz val="11"/>
      <color rgb="FF000000"/>
      <name val="BIZ UDPゴシック"/>
      <family val="3"/>
      <charset val="128"/>
    </font>
    <font>
      <b/>
      <sz val="12"/>
      <color rgb="FFFF0000"/>
      <name val="BIZ UDPゴシック"/>
      <family val="3"/>
      <charset val="128"/>
    </font>
    <font>
      <b/>
      <sz val="12"/>
      <color rgb="FF0070C0"/>
      <name val="BIZ UDPゴシック"/>
      <family val="3"/>
      <charset val="128"/>
    </font>
    <font>
      <sz val="6"/>
      <name val="游ゴシック"/>
      <family val="3"/>
      <charset val="128"/>
    </font>
    <font>
      <sz val="11"/>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9" tint="-0.249977111117893"/>
      <name val="BIZ UDPゴシック"/>
      <family val="3"/>
      <charset val="128"/>
    </font>
    <font>
      <sz val="11"/>
      <color theme="1"/>
      <name val="メイリオ"/>
      <family val="3"/>
      <charset val="128"/>
    </font>
    <font>
      <b/>
      <sz val="11"/>
      <color theme="1"/>
      <name val="メイリオ"/>
      <family val="3"/>
      <charset val="128"/>
    </font>
    <font>
      <sz val="11"/>
      <name val="游ゴシック"/>
      <family val="2"/>
      <charset val="128"/>
      <scheme val="minor"/>
    </font>
    <font>
      <b/>
      <u/>
      <sz val="14"/>
      <color theme="1"/>
      <name val="BIZ UDPゴシック"/>
      <family val="3"/>
      <charset val="128"/>
    </font>
    <font>
      <b/>
      <u/>
      <sz val="12"/>
      <color theme="1"/>
      <name val="BIZ UDPゴシック"/>
      <family val="3"/>
      <charset val="128"/>
    </font>
    <font>
      <b/>
      <sz val="12"/>
      <color rgb="FF00B050"/>
      <name val="BIZ UDPゴシック"/>
      <family val="3"/>
      <charset val="128"/>
    </font>
    <font>
      <b/>
      <sz val="12"/>
      <color rgb="FFFFC000"/>
      <name val="BIZ UDPゴシック"/>
      <family val="3"/>
      <charset val="128"/>
    </font>
    <font>
      <b/>
      <sz val="11"/>
      <color rgb="FFFFC000"/>
      <name val="BIZ UDPゴシック"/>
      <family val="3"/>
      <charset val="128"/>
    </font>
    <font>
      <b/>
      <sz val="14"/>
      <color rgb="FFFFC000"/>
      <name val="BIZ UDPゴシック"/>
      <family val="3"/>
      <charset val="128"/>
    </font>
    <font>
      <b/>
      <sz val="14"/>
      <color rgb="FF00B050"/>
      <name val="BIZ UDPゴシック"/>
      <family val="3"/>
      <charset val="128"/>
    </font>
    <font>
      <b/>
      <sz val="12"/>
      <color rgb="FF7030A0"/>
      <name val="BIZ UDPゴシック"/>
      <family val="3"/>
      <charset val="128"/>
    </font>
    <font>
      <b/>
      <sz val="14"/>
      <color rgb="FF7030A0"/>
      <name val="BIZ UDPゴシック"/>
      <family val="3"/>
      <charset val="128"/>
    </font>
    <font>
      <b/>
      <u/>
      <sz val="11"/>
      <color rgb="FF000000"/>
      <name val="BIZ UDPゴシック"/>
      <family val="3"/>
      <charset val="128"/>
    </font>
    <font>
      <sz val="12"/>
      <name val="BIZ UDPゴシック"/>
      <family val="3"/>
      <charset val="128"/>
    </font>
    <font>
      <b/>
      <sz val="12"/>
      <color rgb="FF000000"/>
      <name val="BIZ UDPゴシック"/>
      <family val="3"/>
      <charset val="128"/>
    </font>
    <font>
      <sz val="12"/>
      <color rgb="FF000000"/>
      <name val="BIZ UDPゴシック"/>
      <family val="3"/>
      <charset val="128"/>
    </font>
    <font>
      <sz val="11"/>
      <color theme="1"/>
      <name val="BIZ UDPゴシック"/>
      <family val="3"/>
      <charset val="128"/>
    </font>
    <font>
      <b/>
      <sz val="20"/>
      <color theme="1"/>
      <name val="BIZ UDPゴシック"/>
      <family val="3"/>
      <charset val="128"/>
    </font>
    <font>
      <b/>
      <sz val="11"/>
      <color rgb="FF00B050"/>
      <name val="BIZ UDPゴシック"/>
      <family val="3"/>
      <charset val="128"/>
    </font>
    <font>
      <b/>
      <sz val="11"/>
      <color rgb="FF7030A0"/>
      <name val="BIZ UDPゴシック"/>
      <family val="3"/>
      <charset val="128"/>
    </font>
    <font>
      <b/>
      <sz val="11"/>
      <color theme="1"/>
      <name val="BIZ UDPゴシック"/>
      <family val="3"/>
      <charset val="128"/>
    </font>
    <font>
      <b/>
      <sz val="20"/>
      <color theme="0"/>
      <name val="BIZ UDPゴシック"/>
      <family val="3"/>
      <charset val="128"/>
    </font>
    <font>
      <b/>
      <sz val="11"/>
      <color theme="7"/>
      <name val="BIZ UDPゴシック"/>
      <family val="3"/>
      <charset val="128"/>
    </font>
  </fonts>
  <fills count="8">
    <fill>
      <patternFill patternType="none"/>
    </fill>
    <fill>
      <patternFill patternType="gray125"/>
    </fill>
    <fill>
      <patternFill patternType="solid">
        <fgColor rgb="FF007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theme="3"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double">
        <color indexed="64"/>
      </top>
      <bottom/>
      <diagonal/>
    </border>
    <border>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rgb="FFFF0000"/>
      </left>
      <right style="medium">
        <color rgb="FFFF0000"/>
      </right>
      <top style="medium">
        <color rgb="FFFF0000"/>
      </top>
      <bottom style="medium">
        <color rgb="FFFF0000"/>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top/>
      <bottom style="thick">
        <color theme="9"/>
      </bottom>
      <diagonal/>
    </border>
    <border>
      <left style="thick">
        <color theme="9"/>
      </left>
      <right/>
      <top/>
      <bottom/>
      <diagonal/>
    </border>
    <border>
      <left style="thick">
        <color theme="9"/>
      </left>
      <right/>
      <top style="thick">
        <color theme="9"/>
      </top>
      <bottom/>
      <diagonal/>
    </border>
    <border>
      <left/>
      <right/>
      <top style="thick">
        <color theme="9"/>
      </top>
      <bottom style="thick">
        <color theme="9"/>
      </bottom>
      <diagonal/>
    </border>
    <border>
      <left style="thick">
        <color theme="9"/>
      </left>
      <right/>
      <top style="thick">
        <color theme="9"/>
      </top>
      <bottom style="thick">
        <color theme="9"/>
      </bottom>
      <diagonal/>
    </border>
    <border>
      <left style="thick">
        <color theme="9"/>
      </left>
      <right style="thick">
        <color theme="9"/>
      </right>
      <top style="thick">
        <color theme="9"/>
      </top>
      <bottom style="thick">
        <color theme="9"/>
      </bottom>
      <diagonal/>
    </border>
    <border>
      <left/>
      <right style="medium">
        <color indexed="64"/>
      </right>
      <top style="dotted">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double">
        <color indexed="64"/>
      </bottom>
      <diagonal/>
    </border>
    <border>
      <left/>
      <right style="medium">
        <color indexed="64"/>
      </right>
      <top style="dotted">
        <color indexed="64"/>
      </top>
      <bottom style="double">
        <color indexed="64"/>
      </bottom>
      <diagonal/>
    </border>
  </borders>
  <cellStyleXfs count="3">
    <xf numFmtId="0" fontId="0"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cellStyleXfs>
  <cellXfs count="157">
    <xf numFmtId="0" fontId="0" fillId="0" borderId="0" xfId="0">
      <alignment vertical="center"/>
    </xf>
    <xf numFmtId="0" fontId="0" fillId="0" borderId="0" xfId="0" applyAlignment="1"/>
    <xf numFmtId="0" fontId="0" fillId="0" borderId="0" xfId="0" applyFill="1" applyBorder="1" applyAlignment="1"/>
    <xf numFmtId="0" fontId="0" fillId="0" borderId="1" xfId="0" applyBorder="1" applyAlignment="1"/>
    <xf numFmtId="176" fontId="0" fillId="0" borderId="2" xfId="0" applyNumberFormat="1" applyBorder="1" applyAlignment="1"/>
    <xf numFmtId="177" fontId="0" fillId="0" borderId="3" xfId="0" applyNumberFormat="1" applyBorder="1" applyAlignment="1">
      <alignment horizontal="left"/>
    </xf>
    <xf numFmtId="178" fontId="0" fillId="0" borderId="1" xfId="0" applyNumberFormat="1" applyBorder="1" applyAlignment="1"/>
    <xf numFmtId="179" fontId="0" fillId="0" borderId="1" xfId="0" applyNumberFormat="1" applyBorder="1" applyAlignment="1"/>
    <xf numFmtId="178" fontId="0" fillId="0" borderId="0" xfId="0" applyNumberFormat="1" applyBorder="1" applyAlignment="1"/>
    <xf numFmtId="181" fontId="0" fillId="0" borderId="1" xfId="0" applyNumberFormat="1" applyBorder="1">
      <alignment vertical="center"/>
    </xf>
    <xf numFmtId="181" fontId="0" fillId="0" borderId="5" xfId="0" applyNumberFormat="1" applyBorder="1">
      <alignment vertical="center"/>
    </xf>
    <xf numFmtId="181" fontId="0" fillId="0" borderId="4" xfId="0" applyNumberFormat="1" applyBorder="1">
      <alignment vertical="center"/>
    </xf>
    <xf numFmtId="178" fontId="0" fillId="0" borderId="4" xfId="0" applyNumberFormat="1" applyBorder="1" applyProtection="1">
      <alignment vertical="center"/>
      <protection locked="0"/>
    </xf>
    <xf numFmtId="182" fontId="0" fillId="0" borderId="4" xfId="0" applyNumberFormat="1" applyBorder="1" applyProtection="1">
      <alignment vertical="center"/>
      <protection locked="0"/>
    </xf>
    <xf numFmtId="0" fontId="3" fillId="0" borderId="0" xfId="0" applyFont="1">
      <alignment vertical="center"/>
    </xf>
    <xf numFmtId="0" fontId="0" fillId="0" borderId="0" xfId="0" applyProtection="1">
      <alignment vertical="center"/>
      <protection hidden="1"/>
    </xf>
    <xf numFmtId="0" fontId="0" fillId="0" borderId="1" xfId="0" applyBorder="1" applyAlignment="1">
      <alignment horizontal="center" vertical="center" wrapText="1"/>
    </xf>
    <xf numFmtId="0" fontId="0" fillId="0" borderId="1" xfId="0" applyBorder="1" applyAlignment="1">
      <alignment horizontal="center" vertical="center"/>
    </xf>
    <xf numFmtId="0" fontId="13" fillId="0" borderId="0" xfId="0" applyFont="1">
      <alignment vertical="center"/>
    </xf>
    <xf numFmtId="0" fontId="14" fillId="0" borderId="0" xfId="0" applyFont="1" applyAlignment="1">
      <alignment horizontal="right" vertical="center"/>
    </xf>
    <xf numFmtId="182" fontId="13" fillId="0" borderId="4" xfId="0" applyNumberFormat="1" applyFont="1" applyBorder="1">
      <alignment vertical="center"/>
    </xf>
    <xf numFmtId="0" fontId="0" fillId="0" borderId="1" xfId="0" applyBorder="1">
      <alignment vertical="center"/>
    </xf>
    <xf numFmtId="38" fontId="0" fillId="0" borderId="1" xfId="1" applyFont="1" applyBorder="1">
      <alignment vertical="center"/>
    </xf>
    <xf numFmtId="38" fontId="0" fillId="0" borderId="1" xfId="1" applyFont="1" applyBorder="1" applyAlignment="1">
      <alignment horizontal="center" vertical="center"/>
    </xf>
    <xf numFmtId="0" fontId="0" fillId="0" borderId="1" xfId="0" applyBorder="1" applyAlignment="1">
      <alignment horizontal="right" vertical="center"/>
    </xf>
    <xf numFmtId="0" fontId="4" fillId="0" borderId="0" xfId="0" applyFont="1" applyBorder="1" applyProtection="1">
      <alignment vertical="center"/>
    </xf>
    <xf numFmtId="0" fontId="16" fillId="0" borderId="0" xfId="0" applyFont="1">
      <alignment vertical="center"/>
    </xf>
    <xf numFmtId="14" fontId="16" fillId="0" borderId="1" xfId="0" applyNumberFormat="1" applyFont="1" applyBorder="1">
      <alignment vertical="center"/>
    </xf>
    <xf numFmtId="0" fontId="16" fillId="0" borderId="1" xfId="0" applyFont="1" applyBorder="1">
      <alignment vertical="center"/>
    </xf>
    <xf numFmtId="0" fontId="17" fillId="3" borderId="1" xfId="0" applyFont="1" applyFill="1" applyBorder="1" applyAlignment="1">
      <alignment horizontal="center" vertical="center"/>
    </xf>
    <xf numFmtId="0" fontId="8" fillId="0" borderId="0" xfId="0" applyFont="1" applyProtection="1">
      <alignment vertical="center"/>
    </xf>
    <xf numFmtId="0" fontId="18" fillId="0" borderId="0" xfId="0" applyFont="1">
      <alignment vertical="center"/>
    </xf>
    <xf numFmtId="0" fontId="14" fillId="0" borderId="0" xfId="0" applyFont="1">
      <alignment vertical="center"/>
    </xf>
    <xf numFmtId="0" fontId="0" fillId="3" borderId="0" xfId="0" applyFill="1">
      <alignment vertical="center"/>
    </xf>
    <xf numFmtId="0" fontId="0" fillId="3" borderId="0" xfId="0" applyFill="1" applyAlignment="1">
      <alignment horizontal="center" vertical="center"/>
    </xf>
    <xf numFmtId="0" fontId="18" fillId="5" borderId="0" xfId="0" applyFont="1" applyFill="1">
      <alignment vertical="center"/>
    </xf>
    <xf numFmtId="0" fontId="18" fillId="5" borderId="0" xfId="0" applyFont="1" applyFill="1" applyAlignment="1">
      <alignment horizontal="center" vertical="center"/>
    </xf>
    <xf numFmtId="0" fontId="19" fillId="0" borderId="0" xfId="0" applyFont="1" applyFill="1" applyBorder="1" applyAlignment="1" applyProtection="1">
      <alignment vertical="center"/>
    </xf>
    <xf numFmtId="0" fontId="19" fillId="0" borderId="0" xfId="0" applyFont="1" applyFill="1" applyBorder="1" applyAlignment="1" applyProtection="1">
      <alignment horizontal="center" vertical="center"/>
    </xf>
    <xf numFmtId="181" fontId="4" fillId="0" borderId="10" xfId="0" applyNumberFormat="1" applyFont="1" applyBorder="1" applyProtection="1">
      <alignment vertical="center"/>
    </xf>
    <xf numFmtId="181" fontId="4" fillId="0" borderId="11" xfId="0" applyNumberFormat="1" applyFont="1" applyBorder="1" applyProtection="1">
      <alignment vertical="center"/>
    </xf>
    <xf numFmtId="181" fontId="4" fillId="0" borderId="13" xfId="0" applyNumberFormat="1" applyFont="1" applyBorder="1" applyProtection="1">
      <alignment vertical="center"/>
    </xf>
    <xf numFmtId="181" fontId="4" fillId="0" borderId="12" xfId="0" applyNumberFormat="1" applyFont="1" applyBorder="1" applyProtection="1">
      <alignment vertical="center"/>
    </xf>
    <xf numFmtId="178" fontId="4" fillId="3" borderId="14" xfId="0" applyNumberFormat="1" applyFont="1" applyFill="1" applyBorder="1" applyProtection="1">
      <alignment vertical="center"/>
      <protection locked="0"/>
    </xf>
    <xf numFmtId="182" fontId="4" fillId="3" borderId="14" xfId="0" applyNumberFormat="1" applyFont="1" applyFill="1" applyBorder="1" applyProtection="1">
      <alignment vertical="center"/>
      <protection locked="0"/>
    </xf>
    <xf numFmtId="178" fontId="4" fillId="3" borderId="14" xfId="0" applyNumberFormat="1" applyFont="1" applyFill="1" applyBorder="1" applyAlignment="1" applyProtection="1">
      <alignment horizontal="right" vertical="center"/>
      <protection locked="0"/>
    </xf>
    <xf numFmtId="0" fontId="20"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0" fillId="0" borderId="15" xfId="0" applyBorder="1" applyProtection="1">
      <alignment vertical="center"/>
      <protection hidden="1"/>
    </xf>
    <xf numFmtId="0" fontId="4" fillId="0" borderId="19" xfId="0" applyFont="1" applyBorder="1" applyProtection="1">
      <alignment vertical="center"/>
    </xf>
    <xf numFmtId="0" fontId="24" fillId="0" borderId="0" xfId="0" applyFont="1" applyBorder="1" applyAlignment="1" applyProtection="1">
      <alignment horizontal="center" vertical="center"/>
    </xf>
    <xf numFmtId="0" fontId="25" fillId="0" borderId="0" xfId="0" applyFont="1" applyBorder="1" applyAlignment="1" applyProtection="1">
      <alignment horizontal="center" vertical="center"/>
    </xf>
    <xf numFmtId="0" fontId="7" fillId="0" borderId="19" xfId="0" applyFont="1" applyBorder="1" applyProtection="1">
      <alignment vertical="center"/>
    </xf>
    <xf numFmtId="0" fontId="0" fillId="0" borderId="0" xfId="0" applyBorder="1" applyProtection="1">
      <alignment vertical="center"/>
      <protection hidden="1"/>
    </xf>
    <xf numFmtId="0" fontId="5" fillId="0" borderId="0" xfId="0" applyFont="1" applyBorder="1" applyProtection="1">
      <alignment vertical="center"/>
    </xf>
    <xf numFmtId="0" fontId="4" fillId="3" borderId="19" xfId="0" applyFont="1" applyFill="1" applyBorder="1" applyProtection="1">
      <alignment vertical="center"/>
    </xf>
    <xf numFmtId="0" fontId="0" fillId="0" borderId="19" xfId="0" applyBorder="1" applyProtection="1">
      <alignment vertical="center"/>
      <protection hidden="1"/>
    </xf>
    <xf numFmtId="0" fontId="0" fillId="4" borderId="0" xfId="0" applyFill="1" applyBorder="1" applyProtection="1">
      <alignment vertical="center"/>
      <protection hidden="1"/>
    </xf>
    <xf numFmtId="0" fontId="10" fillId="4" borderId="0" xfId="0" applyFont="1" applyFill="1" applyBorder="1" applyProtection="1">
      <alignment vertical="center"/>
      <protection hidden="1"/>
    </xf>
    <xf numFmtId="0" fontId="0" fillId="0" borderId="20" xfId="0" applyBorder="1" applyProtection="1">
      <alignment vertical="center"/>
      <protection hidden="1"/>
    </xf>
    <xf numFmtId="0" fontId="0" fillId="0" borderId="21" xfId="0" applyBorder="1" applyProtection="1">
      <alignment vertical="center"/>
      <protection hidden="1"/>
    </xf>
    <xf numFmtId="0" fontId="0" fillId="0" borderId="22" xfId="0" applyBorder="1" applyProtection="1">
      <alignment vertical="center"/>
      <protection hidden="1"/>
    </xf>
    <xf numFmtId="0" fontId="4" fillId="0" borderId="0" xfId="0" applyFont="1" applyFill="1" applyBorder="1" applyAlignment="1" applyProtection="1">
      <alignment horizontal="right" vertical="center"/>
    </xf>
    <xf numFmtId="0" fontId="27" fillId="0" borderId="0" xfId="0" applyFont="1" applyBorder="1" applyAlignment="1" applyProtection="1">
      <alignment horizontal="center" vertical="center"/>
    </xf>
    <xf numFmtId="0" fontId="6" fillId="0" borderId="0" xfId="0" applyFont="1" applyFill="1" applyBorder="1" applyAlignment="1" applyProtection="1">
      <alignment vertical="center"/>
    </xf>
    <xf numFmtId="0" fontId="30" fillId="0" borderId="0" xfId="0" applyFont="1" applyProtection="1">
      <alignment vertical="center"/>
    </xf>
    <xf numFmtId="0" fontId="6" fillId="0" borderId="0" xfId="0" applyFont="1" applyFill="1" applyAlignment="1" applyProtection="1">
      <alignment vertical="center"/>
    </xf>
    <xf numFmtId="0" fontId="19" fillId="0" borderId="19" xfId="0" applyFont="1" applyFill="1" applyBorder="1" applyAlignment="1" applyProtection="1">
      <alignment vertical="center"/>
    </xf>
    <xf numFmtId="0" fontId="4" fillId="0" borderId="19" xfId="0" applyFont="1" applyFill="1" applyBorder="1" applyAlignment="1" applyProtection="1">
      <alignment vertical="center"/>
    </xf>
    <xf numFmtId="0" fontId="19" fillId="0" borderId="19" xfId="0" applyFont="1" applyFill="1" applyBorder="1" applyAlignment="1" applyProtection="1">
      <alignment horizontal="center" vertical="center"/>
    </xf>
    <xf numFmtId="0" fontId="5" fillId="0" borderId="0" xfId="0" applyFont="1" applyBorder="1" applyAlignment="1" applyProtection="1">
      <alignment horizontal="center" vertical="center"/>
    </xf>
    <xf numFmtId="0" fontId="4" fillId="0" borderId="0" xfId="0" applyFont="1" applyBorder="1" applyAlignment="1" applyProtection="1">
      <alignment horizontal="center" vertical="center"/>
    </xf>
    <xf numFmtId="181" fontId="0" fillId="0" borderId="15" xfId="0" applyNumberFormat="1" applyBorder="1" applyProtection="1">
      <alignment vertical="center"/>
      <protection hidden="1"/>
    </xf>
    <xf numFmtId="0" fontId="8" fillId="0" borderId="19" xfId="0" applyFont="1" applyBorder="1" applyProtection="1">
      <alignment vertical="center"/>
    </xf>
    <xf numFmtId="0" fontId="18" fillId="0" borderId="0" xfId="0" applyFont="1" applyAlignment="1">
      <alignment horizontal="right" vertical="center"/>
    </xf>
    <xf numFmtId="0" fontId="32" fillId="0" borderId="0" xfId="0" applyFont="1" applyProtection="1">
      <alignment vertical="center"/>
      <protection hidden="1"/>
    </xf>
    <xf numFmtId="180" fontId="32" fillId="0" borderId="0" xfId="0" applyNumberFormat="1" applyFont="1" applyProtection="1">
      <alignment vertical="center"/>
      <protection hidden="1"/>
    </xf>
    <xf numFmtId="177" fontId="32" fillId="0" borderId="0" xfId="0" applyNumberFormat="1" applyFont="1" applyProtection="1">
      <alignment vertical="center"/>
      <protection hidden="1"/>
    </xf>
    <xf numFmtId="0" fontId="32" fillId="0" borderId="9" xfId="0" applyFont="1" applyBorder="1" applyProtection="1">
      <alignment vertical="center"/>
      <protection hidden="1"/>
    </xf>
    <xf numFmtId="180" fontId="32" fillId="0" borderId="9" xfId="0" applyNumberFormat="1" applyFont="1" applyBorder="1" applyProtection="1">
      <alignment vertical="center"/>
      <protection hidden="1"/>
    </xf>
    <xf numFmtId="177" fontId="32" fillId="0" borderId="9" xfId="0" applyNumberFormat="1" applyFont="1" applyBorder="1" applyProtection="1">
      <alignment vertical="center"/>
      <protection hidden="1"/>
    </xf>
    <xf numFmtId="0" fontId="32" fillId="0" borderId="0" xfId="0" applyFont="1" applyAlignment="1" applyProtection="1">
      <alignment horizontal="center" vertical="center"/>
      <protection hidden="1"/>
    </xf>
    <xf numFmtId="0" fontId="32" fillId="0" borderId="9" xfId="0" applyFont="1" applyBorder="1" applyAlignment="1" applyProtection="1">
      <alignment horizontal="center" vertical="center"/>
      <protection hidden="1"/>
    </xf>
    <xf numFmtId="0" fontId="36" fillId="0" borderId="23" xfId="0" applyFont="1" applyBorder="1" applyProtection="1">
      <alignment vertical="center"/>
      <protection hidden="1"/>
    </xf>
    <xf numFmtId="0" fontId="36" fillId="0" borderId="0" xfId="0" applyFont="1" applyProtection="1">
      <alignment vertical="center"/>
      <protection hidden="1"/>
    </xf>
    <xf numFmtId="177" fontId="36" fillId="0" borderId="0" xfId="0" applyNumberFormat="1" applyFont="1" applyProtection="1">
      <alignment vertical="center"/>
      <protection hidden="1"/>
    </xf>
    <xf numFmtId="0" fontId="36" fillId="0" borderId="23" xfId="0" applyFont="1" applyBorder="1" applyAlignment="1" applyProtection="1">
      <alignment horizontal="center" vertical="center"/>
      <protection hidden="1"/>
    </xf>
    <xf numFmtId="181" fontId="32" fillId="0" borderId="0" xfId="0" applyNumberFormat="1" applyFont="1" applyProtection="1">
      <alignment vertical="center"/>
      <protection hidden="1"/>
    </xf>
    <xf numFmtId="181" fontId="32" fillId="0" borderId="9" xfId="0" applyNumberFormat="1" applyFont="1" applyBorder="1" applyProtection="1">
      <alignment vertical="center"/>
      <protection hidden="1"/>
    </xf>
    <xf numFmtId="181" fontId="36" fillId="0" borderId="0" xfId="0" applyNumberFormat="1" applyFont="1" applyProtection="1">
      <alignment vertical="center"/>
      <protection hidden="1"/>
    </xf>
    <xf numFmtId="0" fontId="4" fillId="0" borderId="0" xfId="0" applyFont="1" applyProtection="1">
      <alignment vertical="center"/>
      <protection hidden="1"/>
    </xf>
    <xf numFmtId="0" fontId="33" fillId="0" borderId="0" xfId="0" applyFont="1" applyAlignment="1" applyProtection="1">
      <alignment vertical="center"/>
      <protection hidden="1"/>
    </xf>
    <xf numFmtId="0" fontId="4" fillId="0" borderId="0" xfId="0" applyFont="1" applyBorder="1" applyAlignment="1" applyProtection="1">
      <alignment horizontal="right" vertical="center"/>
    </xf>
    <xf numFmtId="0" fontId="4" fillId="0" borderId="0" xfId="0" applyFont="1" applyFill="1" applyBorder="1" applyProtection="1">
      <alignment vertical="center"/>
    </xf>
    <xf numFmtId="0" fontId="4" fillId="0" borderId="0" xfId="0" applyFont="1" applyBorder="1" applyAlignment="1" applyProtection="1">
      <alignment horizontal="right" vertical="center" wrapText="1"/>
    </xf>
    <xf numFmtId="0" fontId="7" fillId="0" borderId="0" xfId="0" applyFont="1" applyBorder="1" applyProtection="1">
      <alignment vertical="center"/>
    </xf>
    <xf numFmtId="0" fontId="6" fillId="0" borderId="24" xfId="0" applyFont="1" applyFill="1" applyBorder="1" applyAlignment="1" applyProtection="1">
      <alignment horizontal="center" vertical="center"/>
    </xf>
    <xf numFmtId="0" fontId="24" fillId="0" borderId="25" xfId="0" applyFont="1" applyBorder="1" applyAlignment="1" applyProtection="1">
      <alignment horizontal="center" vertical="center"/>
    </xf>
    <xf numFmtId="178" fontId="4" fillId="5" borderId="26" xfId="0" applyNumberFormat="1" applyFont="1" applyFill="1" applyBorder="1" applyAlignment="1" applyProtection="1">
      <alignment horizontal="right" vertical="center"/>
      <protection locked="0"/>
    </xf>
    <xf numFmtId="0" fontId="4" fillId="0" borderId="27" xfId="0" applyFont="1" applyBorder="1" applyProtection="1">
      <alignment vertical="center"/>
    </xf>
    <xf numFmtId="178" fontId="4" fillId="5" borderId="28" xfId="0" applyNumberFormat="1" applyFont="1" applyFill="1" applyBorder="1" applyProtection="1">
      <alignment vertical="center"/>
      <protection locked="0"/>
    </xf>
    <xf numFmtId="0" fontId="25" fillId="0" borderId="25" xfId="0" applyFont="1" applyBorder="1" applyAlignment="1" applyProtection="1">
      <alignment horizontal="center" vertical="center"/>
    </xf>
    <xf numFmtId="0" fontId="27" fillId="0" borderId="25" xfId="0" applyFont="1" applyBorder="1" applyAlignment="1" applyProtection="1">
      <alignment horizontal="center" vertical="center"/>
    </xf>
    <xf numFmtId="182" fontId="4" fillId="5" borderId="29" xfId="0" applyNumberFormat="1" applyFont="1" applyFill="1" applyBorder="1" applyProtection="1">
      <alignment vertical="center"/>
      <protection locked="0"/>
    </xf>
    <xf numFmtId="181" fontId="4" fillId="3" borderId="15" xfId="0" applyNumberFormat="1" applyFont="1" applyFill="1" applyBorder="1" applyProtection="1">
      <alignment vertical="center"/>
    </xf>
    <xf numFmtId="0" fontId="4" fillId="3" borderId="20" xfId="0" applyFont="1" applyFill="1" applyBorder="1" applyProtection="1">
      <alignment vertical="center"/>
    </xf>
    <xf numFmtId="181" fontId="4" fillId="3" borderId="22" xfId="0" applyNumberFormat="1" applyFont="1" applyFill="1" applyBorder="1" applyProtection="1">
      <alignment vertical="center"/>
    </xf>
    <xf numFmtId="181" fontId="4" fillId="6" borderId="15" xfId="0" applyNumberFormat="1" applyFont="1" applyFill="1" applyBorder="1" applyProtection="1">
      <alignment vertical="center"/>
    </xf>
    <xf numFmtId="0" fontId="4" fillId="6" borderId="20" xfId="0" applyFont="1" applyFill="1" applyBorder="1" applyProtection="1">
      <alignment vertical="center"/>
    </xf>
    <xf numFmtId="181" fontId="4" fillId="6" borderId="22" xfId="0" applyNumberFormat="1" applyFont="1" applyFill="1" applyBorder="1" applyProtection="1">
      <alignment vertical="center"/>
    </xf>
    <xf numFmtId="0" fontId="4" fillId="3" borderId="32" xfId="0" applyFont="1" applyFill="1" applyBorder="1" applyProtection="1">
      <alignment vertical="center"/>
    </xf>
    <xf numFmtId="181" fontId="4" fillId="3" borderId="33" xfId="0" applyNumberFormat="1" applyFont="1" applyFill="1" applyBorder="1" applyProtection="1">
      <alignment vertical="center"/>
    </xf>
    <xf numFmtId="0" fontId="4" fillId="6" borderId="34" xfId="0" applyFont="1" applyFill="1" applyBorder="1" applyProtection="1">
      <alignment vertical="center"/>
    </xf>
    <xf numFmtId="181" fontId="4" fillId="6" borderId="30" xfId="0" applyNumberFormat="1" applyFont="1" applyFill="1" applyBorder="1" applyProtection="1">
      <alignment vertical="center"/>
    </xf>
    <xf numFmtId="0" fontId="4" fillId="6" borderId="31" xfId="0" applyFont="1" applyFill="1" applyBorder="1" applyProtection="1">
      <alignment vertical="center"/>
    </xf>
    <xf numFmtId="0" fontId="4" fillId="3" borderId="35" xfId="0" applyFont="1" applyFill="1" applyBorder="1" applyProtection="1">
      <alignment vertical="center"/>
    </xf>
    <xf numFmtId="181" fontId="4" fillId="3" borderId="36" xfId="0" applyNumberFormat="1" applyFont="1" applyFill="1" applyBorder="1" applyProtection="1">
      <alignment vertical="center"/>
    </xf>
    <xf numFmtId="0" fontId="4" fillId="6" borderId="35" xfId="0" applyFont="1" applyFill="1" applyBorder="1" applyProtection="1">
      <alignment vertical="center"/>
    </xf>
    <xf numFmtId="181" fontId="4" fillId="6" borderId="36" xfId="0" applyNumberFormat="1" applyFont="1" applyFill="1" applyBorder="1" applyProtection="1">
      <alignment vertical="center"/>
    </xf>
    <xf numFmtId="181" fontId="10" fillId="4" borderId="4" xfId="0" applyNumberFormat="1" applyFont="1" applyFill="1" applyBorder="1" applyProtection="1">
      <alignment vertical="center"/>
    </xf>
    <xf numFmtId="183" fontId="10" fillId="4" borderId="4" xfId="2" applyNumberFormat="1" applyFont="1" applyFill="1" applyBorder="1" applyProtection="1">
      <alignment vertical="center"/>
      <protection hidden="1"/>
    </xf>
    <xf numFmtId="0" fontId="33" fillId="0" borderId="0" xfId="0" applyFont="1" applyBorder="1" applyAlignment="1" applyProtection="1">
      <alignment vertical="center"/>
      <protection hidden="1"/>
    </xf>
    <xf numFmtId="0" fontId="32" fillId="0" borderId="0" xfId="0" applyFont="1" applyBorder="1" applyAlignment="1" applyProtection="1">
      <alignment vertical="center"/>
      <protection hidden="1"/>
    </xf>
    <xf numFmtId="0" fontId="4" fillId="0" borderId="0" xfId="0" applyFont="1" applyBorder="1" applyProtection="1">
      <alignment vertical="center"/>
      <protection hidden="1"/>
    </xf>
    <xf numFmtId="0" fontId="31" fillId="0" borderId="0" xfId="0" applyFont="1" applyBorder="1" applyProtection="1">
      <alignment vertical="center"/>
    </xf>
    <xf numFmtId="0" fontId="30" fillId="0" borderId="0" xfId="0" applyFont="1" applyBorder="1" applyProtection="1">
      <alignment vertical="center"/>
    </xf>
    <xf numFmtId="0" fontId="8" fillId="0" borderId="0" xfId="0" applyFont="1" applyBorder="1" applyProtection="1">
      <alignment vertical="center"/>
    </xf>
    <xf numFmtId="0" fontId="32" fillId="0" borderId="0" xfId="0" applyFont="1" applyBorder="1" applyProtection="1">
      <alignment vertical="center"/>
      <protection hidden="1"/>
    </xf>
    <xf numFmtId="0" fontId="5" fillId="0" borderId="0" xfId="0" applyFont="1" applyProtection="1">
      <alignment vertical="center"/>
      <protection hidden="1"/>
    </xf>
    <xf numFmtId="0" fontId="0" fillId="0" borderId="17" xfId="0" applyBorder="1" applyProtection="1">
      <alignment vertical="center"/>
      <protection hidden="1"/>
    </xf>
    <xf numFmtId="0" fontId="5" fillId="3" borderId="16"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0" fontId="5" fillId="6" borderId="18" xfId="0" applyFont="1" applyFill="1" applyBorder="1" applyAlignment="1" applyProtection="1">
      <alignment horizontal="center" vertical="center"/>
    </xf>
    <xf numFmtId="0" fontId="5" fillId="6" borderId="20" xfId="0" applyFont="1" applyFill="1" applyBorder="1" applyAlignment="1" applyProtection="1">
      <alignment horizontal="center" vertical="center"/>
    </xf>
    <xf numFmtId="0" fontId="5" fillId="6" borderId="22" xfId="0" applyFont="1" applyFill="1" applyBorder="1" applyAlignment="1" applyProtection="1">
      <alignment horizontal="center" vertical="center"/>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0" fontId="33" fillId="0" borderId="0" xfId="0" applyFont="1" applyBorder="1" applyAlignment="1" applyProtection="1">
      <alignment horizontal="left" vertical="center"/>
      <protection hidden="1"/>
    </xf>
    <xf numFmtId="0" fontId="36" fillId="0" borderId="8" xfId="0" applyFont="1" applyBorder="1" applyAlignment="1" applyProtection="1">
      <alignment horizontal="right" vertical="center"/>
      <protection hidden="1"/>
    </xf>
    <xf numFmtId="0" fontId="5" fillId="7" borderId="0" xfId="0" applyFont="1" applyFill="1" applyAlignment="1" applyProtection="1">
      <alignment horizontal="center" vertical="center"/>
      <protection hidden="1"/>
    </xf>
    <xf numFmtId="0" fontId="6" fillId="2" borderId="16" xfId="0" applyFont="1" applyFill="1" applyBorder="1" applyAlignment="1" applyProtection="1">
      <alignment horizontal="center" vertical="center"/>
    </xf>
    <xf numFmtId="0" fontId="6" fillId="2" borderId="17" xfId="0" applyFont="1" applyFill="1" applyBorder="1" applyAlignment="1" applyProtection="1">
      <alignment horizontal="center" vertical="center"/>
    </xf>
    <xf numFmtId="0" fontId="6" fillId="2" borderId="18" xfId="0" applyFont="1" applyFill="1" applyBorder="1" applyAlignment="1" applyProtection="1">
      <alignment horizontal="center" vertical="center"/>
    </xf>
    <xf numFmtId="0" fontId="36" fillId="0" borderId="23" xfId="0" applyFont="1" applyBorder="1" applyAlignment="1" applyProtection="1">
      <alignment horizontal="right" vertical="center"/>
      <protection hidden="1"/>
    </xf>
    <xf numFmtId="180" fontId="0" fillId="0" borderId="2" xfId="0" applyNumberFormat="1" applyBorder="1" applyAlignment="1">
      <alignment horizontal="center" vertical="center"/>
    </xf>
    <xf numFmtId="180" fontId="0" fillId="0" borderId="3" xfId="0" applyNumberFormat="1" applyBorder="1" applyAlignment="1">
      <alignment horizontal="center" vertical="center"/>
    </xf>
    <xf numFmtId="180" fontId="0" fillId="0" borderId="7" xfId="0" applyNumberForma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5" xfId="0" applyBorder="1" applyAlignment="1">
      <alignment horizontal="right" vertical="center"/>
    </xf>
    <xf numFmtId="0" fontId="0" fillId="0" borderId="6" xfId="0" applyBorder="1" applyAlignment="1">
      <alignment horizontal="right"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38" fontId="0" fillId="0" borderId="7" xfId="1" applyFont="1" applyBorder="1" applyAlignment="1">
      <alignment horizontal="center" vertical="center"/>
    </xf>
  </cellXfs>
  <cellStyles count="3">
    <cellStyle name="パーセント" xfId="2" builtinId="5"/>
    <cellStyle name="桁区切り" xfId="1" builtinId="6"/>
    <cellStyle name="標準" xfId="0" builtinId="0"/>
  </cellStyles>
  <dxfs count="1">
    <dxf>
      <fill>
        <patternFill>
          <bgColor theme="3"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277906</xdr:colOff>
      <xdr:row>0</xdr:row>
      <xdr:rowOff>251013</xdr:rowOff>
    </xdr:from>
    <xdr:to>
      <xdr:col>18</xdr:col>
      <xdr:colOff>493058</xdr:colOff>
      <xdr:row>21</xdr:row>
      <xdr:rowOff>116543</xdr:rowOff>
    </xdr:to>
    <xdr:sp macro="" textlink="">
      <xdr:nvSpPr>
        <xdr:cNvPr id="15" name="角丸四角形 14"/>
        <xdr:cNvSpPr/>
      </xdr:nvSpPr>
      <xdr:spPr>
        <a:xfrm>
          <a:off x="5325035" y="251013"/>
          <a:ext cx="8624047" cy="5916706"/>
        </a:xfrm>
        <a:prstGeom prst="roundRect">
          <a:avLst>
            <a:gd name="adj" fmla="val 5269"/>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233083</xdr:colOff>
      <xdr:row>0</xdr:row>
      <xdr:rowOff>0</xdr:rowOff>
    </xdr:from>
    <xdr:ext cx="7799294" cy="492443"/>
    <xdr:sp macro="" textlink="">
      <xdr:nvSpPr>
        <xdr:cNvPr id="9" name="テキスト ボックス 8"/>
        <xdr:cNvSpPr txBox="1"/>
      </xdr:nvSpPr>
      <xdr:spPr>
        <a:xfrm>
          <a:off x="5710518" y="0"/>
          <a:ext cx="7799294" cy="49244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b="1">
              <a:latin typeface="BIZ UDPゴシック" panose="020B0400000000000000" pitchFamily="50" charset="-128"/>
              <a:ea typeface="BIZ UDPゴシック" panose="020B0400000000000000" pitchFamily="50" charset="-128"/>
            </a:rPr>
            <a:t>～使用方法～</a:t>
          </a:r>
          <a:r>
            <a:rPr kumimoji="1" lang="ja-JP" altLang="en-US" sz="2000" b="1">
              <a:latin typeface="BIZ UDPゴシック" panose="020B0400000000000000" pitchFamily="50" charset="-128"/>
              <a:ea typeface="BIZ UDPゴシック" panose="020B0400000000000000" pitchFamily="50" charset="-128"/>
            </a:rPr>
            <a:t>　</a:t>
          </a:r>
          <a:r>
            <a:rPr kumimoji="1" lang="en-US" altLang="ja-JP" sz="1600" b="1">
              <a:latin typeface="BIZ UDPゴシック" panose="020B0400000000000000" pitchFamily="50" charset="-128"/>
              <a:ea typeface="BIZ UDPゴシック" panose="020B0400000000000000" pitchFamily="50" charset="-128"/>
            </a:rPr>
            <a:t>※</a:t>
          </a:r>
          <a:r>
            <a:rPr kumimoji="1" lang="ja-JP" altLang="en-US" sz="1600" b="1">
              <a:latin typeface="BIZ UDPゴシック" panose="020B0400000000000000" pitchFamily="50" charset="-128"/>
              <a:ea typeface="BIZ UDPゴシック" panose="020B0400000000000000" pitchFamily="50" charset="-128"/>
            </a:rPr>
            <a:t>下水道使用料は計算に含まれませんのでご注意ください。</a:t>
          </a:r>
        </a:p>
      </xdr:txBody>
    </xdr:sp>
    <xdr:clientData/>
  </xdr:oneCellAnchor>
  <xdr:twoCellAnchor>
    <xdr:from>
      <xdr:col>6</xdr:col>
      <xdr:colOff>177374</xdr:colOff>
      <xdr:row>3</xdr:row>
      <xdr:rowOff>108165</xdr:rowOff>
    </xdr:from>
    <xdr:to>
      <xdr:col>9</xdr:col>
      <xdr:colOff>572800</xdr:colOff>
      <xdr:row>12</xdr:row>
      <xdr:rowOff>284308</xdr:rowOff>
    </xdr:to>
    <xdr:grpSp>
      <xdr:nvGrpSpPr>
        <xdr:cNvPr id="3" name="グループ化 2"/>
        <xdr:cNvGrpSpPr/>
      </xdr:nvGrpSpPr>
      <xdr:grpSpPr>
        <a:xfrm>
          <a:off x="5654809" y="1121177"/>
          <a:ext cx="2161473" cy="2713155"/>
          <a:chOff x="2958352" y="851645"/>
          <a:chExt cx="2161473" cy="2823884"/>
        </a:xfrm>
      </xdr:grpSpPr>
      <xdr:pic>
        <xdr:nvPicPr>
          <xdr:cNvPr id="4" name="図 3"/>
          <xdr:cNvPicPr>
            <a:picLocks noChangeAspect="1"/>
          </xdr:cNvPicPr>
        </xdr:nvPicPr>
        <xdr:blipFill>
          <a:blip xmlns:r="http://schemas.openxmlformats.org/officeDocument/2006/relationships" r:embed="rId1"/>
          <a:stretch>
            <a:fillRect/>
          </a:stretch>
        </xdr:blipFill>
        <xdr:spPr>
          <a:xfrm>
            <a:off x="2958352" y="851645"/>
            <a:ext cx="2161473" cy="2823884"/>
          </a:xfrm>
          <a:prstGeom prst="rect">
            <a:avLst/>
          </a:prstGeom>
        </xdr:spPr>
      </xdr:pic>
      <xdr:sp macro="" textlink="">
        <xdr:nvSpPr>
          <xdr:cNvPr id="6" name="テキスト ボックス 5"/>
          <xdr:cNvSpPr txBox="1"/>
        </xdr:nvSpPr>
        <xdr:spPr>
          <a:xfrm>
            <a:off x="4688542" y="2151530"/>
            <a:ext cx="364202"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solidFill>
                  <a:srgbClr val="FFC000"/>
                </a:solidFill>
                <a:latin typeface="BIZ UDPゴシック" panose="020B0400000000000000" pitchFamily="50" charset="-128"/>
                <a:ea typeface="BIZ UDPゴシック" panose="020B0400000000000000" pitchFamily="50" charset="-128"/>
              </a:rPr>
              <a:t>①</a:t>
            </a:r>
          </a:p>
        </xdr:txBody>
      </xdr:sp>
      <xdr:sp macro="" textlink="">
        <xdr:nvSpPr>
          <xdr:cNvPr id="7" name="テキスト ボックス 6"/>
          <xdr:cNvSpPr txBox="1"/>
        </xdr:nvSpPr>
        <xdr:spPr>
          <a:xfrm>
            <a:off x="4697506" y="1192307"/>
            <a:ext cx="364202"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solidFill>
                  <a:srgbClr val="00B050"/>
                </a:solidFill>
                <a:latin typeface="BIZ UDPゴシック" panose="020B0400000000000000" pitchFamily="50" charset="-128"/>
                <a:ea typeface="BIZ UDPゴシック" panose="020B0400000000000000" pitchFamily="50" charset="-128"/>
              </a:rPr>
              <a:t>②</a:t>
            </a:r>
          </a:p>
        </xdr:txBody>
      </xdr:sp>
      <xdr:sp macro="" textlink="">
        <xdr:nvSpPr>
          <xdr:cNvPr id="8" name="テキスト ボックス 7"/>
          <xdr:cNvSpPr txBox="1"/>
        </xdr:nvSpPr>
        <xdr:spPr>
          <a:xfrm>
            <a:off x="4320989" y="2886636"/>
            <a:ext cx="364202"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solidFill>
                  <a:srgbClr val="7030A0"/>
                </a:solidFill>
                <a:latin typeface="BIZ UDPゴシック" panose="020B0400000000000000" pitchFamily="50" charset="-128"/>
                <a:ea typeface="BIZ UDPゴシック" panose="020B0400000000000000" pitchFamily="50" charset="-128"/>
              </a:rPr>
              <a:t>③</a:t>
            </a:r>
          </a:p>
        </xdr:txBody>
      </xdr:sp>
    </xdr:grpSp>
    <xdr:clientData/>
  </xdr:twoCellAnchor>
  <xdr:twoCellAnchor>
    <xdr:from>
      <xdr:col>0</xdr:col>
      <xdr:colOff>8966</xdr:colOff>
      <xdr:row>3</xdr:row>
      <xdr:rowOff>35859</xdr:rowOff>
    </xdr:from>
    <xdr:to>
      <xdr:col>0</xdr:col>
      <xdr:colOff>373168</xdr:colOff>
      <xdr:row>3</xdr:row>
      <xdr:rowOff>361589</xdr:rowOff>
    </xdr:to>
    <xdr:sp macro="" textlink="">
      <xdr:nvSpPr>
        <xdr:cNvPr id="11" name="テキスト ボックス 10"/>
        <xdr:cNvSpPr txBox="1"/>
      </xdr:nvSpPr>
      <xdr:spPr>
        <a:xfrm>
          <a:off x="8966" y="1048871"/>
          <a:ext cx="364202"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rgbClr val="FFC000"/>
              </a:solidFill>
              <a:latin typeface="BIZ UDPゴシック" panose="020B0400000000000000" pitchFamily="50" charset="-128"/>
              <a:ea typeface="BIZ UDPゴシック" panose="020B0400000000000000" pitchFamily="50" charset="-128"/>
            </a:rPr>
            <a:t>①</a:t>
          </a:r>
        </a:p>
      </xdr:txBody>
    </xdr:sp>
    <xdr:clientData/>
  </xdr:twoCellAnchor>
  <xdr:twoCellAnchor>
    <xdr:from>
      <xdr:col>0</xdr:col>
      <xdr:colOff>17930</xdr:colOff>
      <xdr:row>5</xdr:row>
      <xdr:rowOff>26895</xdr:rowOff>
    </xdr:from>
    <xdr:to>
      <xdr:col>0</xdr:col>
      <xdr:colOff>382132</xdr:colOff>
      <xdr:row>5</xdr:row>
      <xdr:rowOff>352625</xdr:rowOff>
    </xdr:to>
    <xdr:sp macro="" textlink="">
      <xdr:nvSpPr>
        <xdr:cNvPr id="12" name="テキスト ボックス 11"/>
        <xdr:cNvSpPr txBox="1"/>
      </xdr:nvSpPr>
      <xdr:spPr>
        <a:xfrm>
          <a:off x="17930" y="1676401"/>
          <a:ext cx="364202"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rgbClr val="00B050"/>
              </a:solidFill>
              <a:latin typeface="BIZ UDPゴシック" panose="020B0400000000000000" pitchFamily="50" charset="-128"/>
              <a:ea typeface="BIZ UDPゴシック" panose="020B0400000000000000" pitchFamily="50" charset="-128"/>
            </a:rPr>
            <a:t>②</a:t>
          </a:r>
        </a:p>
      </xdr:txBody>
    </xdr:sp>
    <xdr:clientData/>
  </xdr:twoCellAnchor>
  <xdr:twoCellAnchor>
    <xdr:from>
      <xdr:col>3</xdr:col>
      <xdr:colOff>1</xdr:colOff>
      <xdr:row>5</xdr:row>
      <xdr:rowOff>35859</xdr:rowOff>
    </xdr:from>
    <xdr:to>
      <xdr:col>3</xdr:col>
      <xdr:colOff>364203</xdr:colOff>
      <xdr:row>5</xdr:row>
      <xdr:rowOff>361589</xdr:rowOff>
    </xdr:to>
    <xdr:sp macro="" textlink="">
      <xdr:nvSpPr>
        <xdr:cNvPr id="13" name="テキスト ボックス 12"/>
        <xdr:cNvSpPr txBox="1"/>
      </xdr:nvSpPr>
      <xdr:spPr>
        <a:xfrm>
          <a:off x="2868707" y="1685365"/>
          <a:ext cx="364202"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rgbClr val="7030A0"/>
              </a:solidFill>
              <a:latin typeface="BIZ UDPゴシック" panose="020B0400000000000000" pitchFamily="50" charset="-128"/>
              <a:ea typeface="BIZ UDPゴシック" panose="020B0400000000000000" pitchFamily="50" charset="-128"/>
            </a:rPr>
            <a:t>③</a:t>
          </a:r>
        </a:p>
      </xdr:txBody>
    </xdr:sp>
    <xdr:clientData/>
  </xdr:twoCellAnchor>
  <xdr:twoCellAnchor>
    <xdr:from>
      <xdr:col>10</xdr:col>
      <xdr:colOff>268939</xdr:colOff>
      <xdr:row>3</xdr:row>
      <xdr:rowOff>188256</xdr:rowOff>
    </xdr:from>
    <xdr:to>
      <xdr:col>18</xdr:col>
      <xdr:colOff>35857</xdr:colOff>
      <xdr:row>12</xdr:row>
      <xdr:rowOff>295834</xdr:rowOff>
    </xdr:to>
    <xdr:grpSp>
      <xdr:nvGrpSpPr>
        <xdr:cNvPr id="14" name="グループ化 13"/>
        <xdr:cNvGrpSpPr/>
      </xdr:nvGrpSpPr>
      <xdr:grpSpPr>
        <a:xfrm>
          <a:off x="8202704" y="1201268"/>
          <a:ext cx="5289177" cy="2644590"/>
          <a:chOff x="8597152" y="3666562"/>
          <a:chExt cx="5108163" cy="2563909"/>
        </a:xfrm>
      </xdr:grpSpPr>
      <xdr:pic>
        <xdr:nvPicPr>
          <xdr:cNvPr id="5" name="図 4"/>
          <xdr:cNvPicPr>
            <a:picLocks noChangeAspect="1"/>
          </xdr:cNvPicPr>
        </xdr:nvPicPr>
        <xdr:blipFill>
          <a:blip xmlns:r="http://schemas.openxmlformats.org/officeDocument/2006/relationships" r:embed="rId2"/>
          <a:stretch>
            <a:fillRect/>
          </a:stretch>
        </xdr:blipFill>
        <xdr:spPr>
          <a:xfrm>
            <a:off x="8597152" y="3666562"/>
            <a:ext cx="5104663" cy="2563909"/>
          </a:xfrm>
          <a:prstGeom prst="rect">
            <a:avLst/>
          </a:prstGeom>
          <a:ln>
            <a:solidFill>
              <a:schemeClr val="tx1"/>
            </a:solidFill>
          </a:ln>
        </xdr:spPr>
      </xdr:pic>
      <xdr:sp macro="" textlink="">
        <xdr:nvSpPr>
          <xdr:cNvPr id="20" name="テキスト ボックス 19"/>
          <xdr:cNvSpPr txBox="1"/>
        </xdr:nvSpPr>
        <xdr:spPr>
          <a:xfrm>
            <a:off x="10893748" y="4728010"/>
            <a:ext cx="364202" cy="3129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rgbClr val="FFC000"/>
                </a:solidFill>
                <a:latin typeface="BIZ UDPゴシック" panose="020B0400000000000000" pitchFamily="50" charset="-128"/>
                <a:ea typeface="BIZ UDPゴシック" panose="020B0400000000000000" pitchFamily="50" charset="-128"/>
              </a:rPr>
              <a:t>①</a:t>
            </a:r>
          </a:p>
        </xdr:txBody>
      </xdr:sp>
      <xdr:sp macro="" textlink="">
        <xdr:nvSpPr>
          <xdr:cNvPr id="21" name="テキスト ボックス 20"/>
          <xdr:cNvSpPr txBox="1"/>
        </xdr:nvSpPr>
        <xdr:spPr>
          <a:xfrm>
            <a:off x="13341113" y="4181163"/>
            <a:ext cx="364202" cy="3129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rgbClr val="00B050"/>
                </a:solidFill>
                <a:latin typeface="BIZ UDPゴシック" panose="020B0400000000000000" pitchFamily="50" charset="-128"/>
                <a:ea typeface="BIZ UDPゴシック" panose="020B0400000000000000" pitchFamily="50" charset="-128"/>
              </a:rPr>
              <a:t>②</a:t>
            </a:r>
          </a:p>
        </xdr:txBody>
      </xdr:sp>
      <xdr:sp macro="" textlink="">
        <xdr:nvSpPr>
          <xdr:cNvPr id="22" name="テキスト ボックス 21"/>
          <xdr:cNvSpPr txBox="1"/>
        </xdr:nvSpPr>
        <xdr:spPr>
          <a:xfrm>
            <a:off x="12722548" y="5615515"/>
            <a:ext cx="364202" cy="3129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solidFill>
                  <a:srgbClr val="7030A0"/>
                </a:solidFill>
                <a:latin typeface="BIZ UDPゴシック" panose="020B0400000000000000" pitchFamily="50" charset="-128"/>
                <a:ea typeface="BIZ UDPゴシック" panose="020B0400000000000000" pitchFamily="50" charset="-128"/>
              </a:rPr>
              <a:t>③</a:t>
            </a:r>
          </a:p>
        </xdr:txBody>
      </xdr:sp>
    </xdr:grpSp>
    <xdr:clientData/>
  </xdr:twoCellAnchor>
  <xdr:oneCellAnchor>
    <xdr:from>
      <xdr:col>5</xdr:col>
      <xdr:colOff>251010</xdr:colOff>
      <xdr:row>5</xdr:row>
      <xdr:rowOff>349623</xdr:rowOff>
    </xdr:from>
    <xdr:ext cx="385483" cy="1085169"/>
    <xdr:sp macro="" textlink="">
      <xdr:nvSpPr>
        <xdr:cNvPr id="2" name="テキスト ボックス 1"/>
        <xdr:cNvSpPr txBox="1"/>
      </xdr:nvSpPr>
      <xdr:spPr>
        <a:xfrm>
          <a:off x="5298139" y="1999129"/>
          <a:ext cx="385483" cy="10851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tx1"/>
              </a:solidFill>
              <a:effectLst/>
              <a:latin typeface="BIZ UDPゴシック" panose="020B0400000000000000" pitchFamily="50" charset="-128"/>
              <a:ea typeface="BIZ UDPゴシック" panose="020B0400000000000000" pitchFamily="50" charset="-128"/>
              <a:cs typeface="+mn-cs"/>
            </a:rPr>
            <a:t>検針票型</a:t>
          </a:r>
          <a:endParaRPr lang="ja-JP" altLang="ja-JP">
            <a:effectLst/>
            <a:latin typeface="BIZ UDPゴシック" panose="020B0400000000000000" pitchFamily="50" charset="-128"/>
            <a:ea typeface="BIZ UDPゴシック" panose="020B0400000000000000" pitchFamily="50" charset="-128"/>
          </a:endParaRPr>
        </a:p>
        <a:p>
          <a:endParaRPr kumimoji="1" lang="ja-JP" altLang="en-US" sz="1100"/>
        </a:p>
      </xdr:txBody>
    </xdr:sp>
    <xdr:clientData/>
  </xdr:oneCellAnchor>
  <xdr:oneCellAnchor>
    <xdr:from>
      <xdr:col>9</xdr:col>
      <xdr:colOff>546846</xdr:colOff>
      <xdr:row>5</xdr:row>
      <xdr:rowOff>277906</xdr:rowOff>
    </xdr:from>
    <xdr:ext cx="385483" cy="1085169"/>
    <xdr:sp macro="" textlink="">
      <xdr:nvSpPr>
        <xdr:cNvPr id="23" name="テキスト ボックス 22"/>
        <xdr:cNvSpPr txBox="1"/>
      </xdr:nvSpPr>
      <xdr:spPr>
        <a:xfrm>
          <a:off x="7790328" y="1927412"/>
          <a:ext cx="385483" cy="10851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tx1"/>
              </a:solidFill>
              <a:effectLst/>
              <a:latin typeface="BIZ UDPゴシック" panose="020B0400000000000000" pitchFamily="50" charset="-128"/>
              <a:ea typeface="BIZ UDPゴシック" panose="020B0400000000000000" pitchFamily="50" charset="-128"/>
              <a:cs typeface="+mn-cs"/>
            </a:rPr>
            <a:t>ハガキ</a:t>
          </a:r>
          <a:r>
            <a:rPr kumimoji="1" lang="ja-JP" altLang="ja-JP" sz="1100" b="0">
              <a:solidFill>
                <a:schemeClr val="tx1"/>
              </a:solidFill>
              <a:effectLst/>
              <a:latin typeface="BIZ UDPゴシック" panose="020B0400000000000000" pitchFamily="50" charset="-128"/>
              <a:ea typeface="BIZ UDPゴシック" panose="020B0400000000000000" pitchFamily="50" charset="-128"/>
              <a:cs typeface="+mn-cs"/>
            </a:rPr>
            <a:t>型</a:t>
          </a:r>
          <a:endParaRPr lang="ja-JP" altLang="ja-JP">
            <a:effectLst/>
            <a:latin typeface="BIZ UDPゴシック" panose="020B0400000000000000" pitchFamily="50" charset="-128"/>
            <a:ea typeface="BIZ UDPゴシック" panose="020B0400000000000000" pitchFamily="50" charset="-128"/>
          </a:endParaRPr>
        </a:p>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637838</xdr:colOff>
      <xdr:row>1</xdr:row>
      <xdr:rowOff>90095</xdr:rowOff>
    </xdr:from>
    <xdr:to>
      <xdr:col>6</xdr:col>
      <xdr:colOff>320800</xdr:colOff>
      <xdr:row>8</xdr:row>
      <xdr:rowOff>304800</xdr:rowOff>
    </xdr:to>
    <xdr:grpSp>
      <xdr:nvGrpSpPr>
        <xdr:cNvPr id="8" name="グループ化 7"/>
        <xdr:cNvGrpSpPr/>
      </xdr:nvGrpSpPr>
      <xdr:grpSpPr>
        <a:xfrm>
          <a:off x="4501626" y="520401"/>
          <a:ext cx="1556586" cy="2088328"/>
          <a:chOff x="2958352" y="851645"/>
          <a:chExt cx="2184020" cy="2823884"/>
        </a:xfrm>
      </xdr:grpSpPr>
      <xdr:pic>
        <xdr:nvPicPr>
          <xdr:cNvPr id="3" name="図 2"/>
          <xdr:cNvPicPr>
            <a:picLocks noChangeAspect="1"/>
          </xdr:cNvPicPr>
        </xdr:nvPicPr>
        <xdr:blipFill>
          <a:blip xmlns:r="http://schemas.openxmlformats.org/officeDocument/2006/relationships" r:embed="rId1"/>
          <a:stretch>
            <a:fillRect/>
          </a:stretch>
        </xdr:blipFill>
        <xdr:spPr>
          <a:xfrm>
            <a:off x="2958352" y="851645"/>
            <a:ext cx="2161473" cy="2823884"/>
          </a:xfrm>
          <a:prstGeom prst="rect">
            <a:avLst/>
          </a:prstGeom>
        </xdr:spPr>
      </xdr:pic>
      <xdr:sp macro="" textlink="">
        <xdr:nvSpPr>
          <xdr:cNvPr id="5" name="テキスト ボックス 4"/>
          <xdr:cNvSpPr txBox="1"/>
        </xdr:nvSpPr>
        <xdr:spPr>
          <a:xfrm>
            <a:off x="4656328" y="2130931"/>
            <a:ext cx="477080" cy="395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FFC000"/>
                </a:solidFill>
                <a:latin typeface="BIZ UDPゴシック" panose="020B0400000000000000" pitchFamily="50" charset="-128"/>
                <a:ea typeface="BIZ UDPゴシック" panose="020B0400000000000000" pitchFamily="50" charset="-128"/>
              </a:rPr>
              <a:t>①</a:t>
            </a:r>
          </a:p>
        </xdr:txBody>
      </xdr:sp>
      <xdr:sp macro="" textlink="">
        <xdr:nvSpPr>
          <xdr:cNvPr id="6" name="テキスト ボックス 5"/>
          <xdr:cNvSpPr txBox="1"/>
        </xdr:nvSpPr>
        <xdr:spPr>
          <a:xfrm>
            <a:off x="4665292" y="1171708"/>
            <a:ext cx="477080" cy="395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solidFill>
                  <a:srgbClr val="00B050"/>
                </a:solidFill>
                <a:latin typeface="BIZ UDPゴシック" panose="020B0400000000000000" pitchFamily="50" charset="-128"/>
                <a:ea typeface="BIZ UDPゴシック" panose="020B0400000000000000" pitchFamily="50" charset="-128"/>
              </a:rPr>
              <a:t>②</a:t>
            </a:r>
          </a:p>
        </xdr:txBody>
      </xdr:sp>
      <xdr:sp macro="" textlink="">
        <xdr:nvSpPr>
          <xdr:cNvPr id="7" name="テキスト ボックス 6"/>
          <xdr:cNvSpPr txBox="1"/>
        </xdr:nvSpPr>
        <xdr:spPr>
          <a:xfrm>
            <a:off x="4235086" y="2896936"/>
            <a:ext cx="508914" cy="395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b="1">
                <a:solidFill>
                  <a:srgbClr val="7030A0"/>
                </a:solidFill>
                <a:latin typeface="BIZ UDPゴシック" panose="020B0400000000000000" pitchFamily="50" charset="-128"/>
                <a:ea typeface="BIZ UDPゴシック" panose="020B0400000000000000" pitchFamily="50" charset="-128"/>
              </a:rPr>
              <a:t>③</a:t>
            </a:r>
          </a:p>
        </xdr:txBody>
      </xdr:sp>
    </xdr:grpSp>
    <xdr:clientData/>
  </xdr:twoCellAnchor>
  <xdr:twoCellAnchor>
    <xdr:from>
      <xdr:col>3</xdr:col>
      <xdr:colOff>762449</xdr:colOff>
      <xdr:row>9</xdr:row>
      <xdr:rowOff>38550</xdr:rowOff>
    </xdr:from>
    <xdr:to>
      <xdr:col>6</xdr:col>
      <xdr:colOff>826098</xdr:colOff>
      <xdr:row>13</xdr:row>
      <xdr:rowOff>139401</xdr:rowOff>
    </xdr:to>
    <xdr:grpSp>
      <xdr:nvGrpSpPr>
        <xdr:cNvPr id="9" name="グループ化 8"/>
        <xdr:cNvGrpSpPr/>
      </xdr:nvGrpSpPr>
      <xdr:grpSpPr>
        <a:xfrm>
          <a:off x="3631155" y="2710032"/>
          <a:ext cx="2932355" cy="1544169"/>
          <a:chOff x="8597152" y="3666562"/>
          <a:chExt cx="5189383" cy="2563909"/>
        </a:xfrm>
      </xdr:grpSpPr>
      <xdr:pic>
        <xdr:nvPicPr>
          <xdr:cNvPr id="10" name="図 9"/>
          <xdr:cNvPicPr>
            <a:picLocks noChangeAspect="1"/>
          </xdr:cNvPicPr>
        </xdr:nvPicPr>
        <xdr:blipFill>
          <a:blip xmlns:r="http://schemas.openxmlformats.org/officeDocument/2006/relationships" r:embed="rId2"/>
          <a:stretch>
            <a:fillRect/>
          </a:stretch>
        </xdr:blipFill>
        <xdr:spPr>
          <a:xfrm>
            <a:off x="8597152" y="3666562"/>
            <a:ext cx="5104663" cy="2563909"/>
          </a:xfrm>
          <a:prstGeom prst="rect">
            <a:avLst/>
          </a:prstGeom>
          <a:ln>
            <a:solidFill>
              <a:schemeClr val="tx1"/>
            </a:solidFill>
          </a:ln>
        </xdr:spPr>
      </xdr:pic>
      <xdr:sp macro="" textlink="">
        <xdr:nvSpPr>
          <xdr:cNvPr id="11" name="テキスト ボックス 10"/>
          <xdr:cNvSpPr txBox="1"/>
        </xdr:nvSpPr>
        <xdr:spPr>
          <a:xfrm>
            <a:off x="10758379" y="4613910"/>
            <a:ext cx="483231" cy="4121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FFC000"/>
                </a:solidFill>
                <a:latin typeface="BIZ UDPゴシック" panose="020B0400000000000000" pitchFamily="50" charset="-128"/>
                <a:ea typeface="BIZ UDPゴシック" panose="020B0400000000000000" pitchFamily="50" charset="-128"/>
              </a:rPr>
              <a:t>①</a:t>
            </a:r>
          </a:p>
        </xdr:txBody>
      </xdr:sp>
      <xdr:sp macro="" textlink="">
        <xdr:nvSpPr>
          <xdr:cNvPr id="12" name="テキスト ボックス 11"/>
          <xdr:cNvSpPr txBox="1"/>
        </xdr:nvSpPr>
        <xdr:spPr>
          <a:xfrm>
            <a:off x="13219281" y="4079741"/>
            <a:ext cx="567254" cy="451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00B050"/>
                </a:solidFill>
                <a:latin typeface="BIZ UDPゴシック" panose="020B0400000000000000" pitchFamily="50" charset="-128"/>
                <a:ea typeface="BIZ UDPゴシック" panose="020B0400000000000000" pitchFamily="50" charset="-128"/>
              </a:rPr>
              <a:t>②</a:t>
            </a:r>
          </a:p>
        </xdr:txBody>
      </xdr:sp>
      <xdr:sp macro="" textlink="">
        <xdr:nvSpPr>
          <xdr:cNvPr id="13" name="テキスト ボックス 12"/>
          <xdr:cNvSpPr txBox="1"/>
        </xdr:nvSpPr>
        <xdr:spPr>
          <a:xfrm>
            <a:off x="12668400" y="5501414"/>
            <a:ext cx="549588" cy="450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7030A0"/>
                </a:solidFill>
                <a:latin typeface="BIZ UDPゴシック" panose="020B0400000000000000" pitchFamily="50" charset="-128"/>
                <a:ea typeface="BIZ UDPゴシック" panose="020B0400000000000000" pitchFamily="50" charset="-128"/>
              </a:rPr>
              <a:t>③</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C12"/>
  <sheetViews>
    <sheetView workbookViewId="0">
      <selection activeCell="C23" sqref="C23"/>
    </sheetView>
  </sheetViews>
  <sheetFormatPr defaultColWidth="8.69921875" defaultRowHeight="17.399999999999999" x14ac:dyDescent="0.45"/>
  <cols>
    <col min="1" max="1" width="8.69921875" style="26"/>
    <col min="2" max="2" width="12.69921875" style="26" customWidth="1"/>
    <col min="3" max="3" width="32" style="26" bestFit="1" customWidth="1"/>
    <col min="4" max="16384" width="8.69921875" style="26"/>
  </cols>
  <sheetData>
    <row r="2" spans="1:3" x14ac:dyDescent="0.45">
      <c r="A2" s="26" t="s">
        <v>51</v>
      </c>
    </row>
    <row r="3" spans="1:3" x14ac:dyDescent="0.45">
      <c r="B3" s="29" t="s">
        <v>52</v>
      </c>
      <c r="C3" s="29" t="s">
        <v>53</v>
      </c>
    </row>
    <row r="4" spans="1:3" x14ac:dyDescent="0.45">
      <c r="B4" s="27">
        <v>45163</v>
      </c>
      <c r="C4" s="28" t="s">
        <v>55</v>
      </c>
    </row>
    <row r="5" spans="1:3" x14ac:dyDescent="0.45">
      <c r="B5" s="27">
        <v>45166</v>
      </c>
      <c r="C5" s="28" t="s">
        <v>54</v>
      </c>
    </row>
    <row r="6" spans="1:3" x14ac:dyDescent="0.45">
      <c r="B6" s="27">
        <v>45166</v>
      </c>
      <c r="C6" s="28" t="s">
        <v>56</v>
      </c>
    </row>
    <row r="7" spans="1:3" x14ac:dyDescent="0.45">
      <c r="B7" s="27"/>
      <c r="C7" s="28"/>
    </row>
    <row r="8" spans="1:3" x14ac:dyDescent="0.45">
      <c r="B8" s="27"/>
      <c r="C8" s="28"/>
    </row>
    <row r="9" spans="1:3" x14ac:dyDescent="0.45">
      <c r="B9" s="27"/>
      <c r="C9" s="28"/>
    </row>
    <row r="10" spans="1:3" x14ac:dyDescent="0.45">
      <c r="B10" s="27"/>
      <c r="C10" s="28"/>
    </row>
    <row r="11" spans="1:3" x14ac:dyDescent="0.45">
      <c r="B11" s="27"/>
      <c r="C11" s="28"/>
    </row>
    <row r="12" spans="1:3" x14ac:dyDescent="0.45">
      <c r="B12" s="27"/>
      <c r="C12" s="28"/>
    </row>
  </sheetData>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T28"/>
  <sheetViews>
    <sheetView showGridLines="0" showRowColHeaders="0" tabSelected="1" zoomScale="85" zoomScaleNormal="85" workbookViewId="0">
      <selection activeCell="B4" sqref="B4"/>
    </sheetView>
  </sheetViews>
  <sheetFormatPr defaultColWidth="9" defaultRowHeight="18" x14ac:dyDescent="0.45"/>
  <cols>
    <col min="1" max="1" width="13" style="15" customWidth="1"/>
    <col min="2" max="2" width="15.5" style="15" bestFit="1" customWidth="1"/>
    <col min="3" max="3" width="9" style="15"/>
    <col min="4" max="4" width="13" style="15" bestFit="1" customWidth="1"/>
    <col min="5" max="5" width="15.5" style="15" bestFit="1" customWidth="1"/>
    <col min="6" max="6" width="5.59765625" style="15" customWidth="1"/>
    <col min="7" max="7" width="5" style="15" customWidth="1"/>
    <col min="8" max="18" width="9" style="15"/>
    <col min="19" max="19" width="7.3984375" style="15" customWidth="1"/>
    <col min="20" max="16384" width="9" style="15"/>
  </cols>
  <sheetData>
    <row r="1" spans="1:20" ht="33.75" customHeight="1" x14ac:dyDescent="0.45">
      <c r="A1" s="138" t="s">
        <v>100</v>
      </c>
      <c r="B1" s="139"/>
      <c r="C1" s="139"/>
      <c r="D1" s="139"/>
      <c r="E1" s="139"/>
      <c r="F1" s="64"/>
      <c r="G1" s="140"/>
      <c r="H1" s="140"/>
      <c r="I1" s="140"/>
      <c r="J1" s="140"/>
      <c r="K1" s="140"/>
      <c r="L1" s="140"/>
      <c r="M1" s="140"/>
      <c r="N1" s="140"/>
      <c r="O1" s="140"/>
      <c r="P1" s="140"/>
      <c r="Q1" s="140"/>
      <c r="R1" s="140"/>
      <c r="S1" s="140"/>
      <c r="T1" s="91"/>
    </row>
    <row r="2" spans="1:20" ht="33.75" customHeight="1" x14ac:dyDescent="0.45">
      <c r="A2" s="139"/>
      <c r="B2" s="139"/>
      <c r="C2" s="139"/>
      <c r="D2" s="139"/>
      <c r="E2" s="139"/>
      <c r="F2" s="64"/>
      <c r="G2" s="124" t="s">
        <v>93</v>
      </c>
      <c r="H2" s="121"/>
      <c r="I2" s="121"/>
      <c r="J2" s="121"/>
      <c r="K2" s="121"/>
      <c r="L2" s="121"/>
      <c r="M2" s="121"/>
      <c r="N2" s="121"/>
      <c r="O2" s="121"/>
      <c r="P2" s="121"/>
      <c r="Q2" s="121"/>
      <c r="R2" s="121"/>
      <c r="S2" s="121"/>
      <c r="T2" s="91"/>
    </row>
    <row r="3" spans="1:20" ht="12" customHeight="1" thickBot="1" x14ac:dyDescent="0.5">
      <c r="A3" s="47"/>
      <c r="B3" s="96"/>
      <c r="C3" s="47"/>
      <c r="D3" s="47"/>
      <c r="E3" s="47"/>
      <c r="F3" s="53"/>
      <c r="G3" s="127"/>
      <c r="H3" s="127" t="s">
        <v>105</v>
      </c>
      <c r="I3" s="53"/>
      <c r="J3" s="53"/>
      <c r="K3" s="53"/>
      <c r="L3" s="53"/>
      <c r="M3" s="53"/>
      <c r="N3" s="53"/>
      <c r="O3" s="53"/>
      <c r="P3" s="53"/>
      <c r="Q3" s="53"/>
      <c r="R3" s="53"/>
      <c r="S3" s="53"/>
    </row>
    <row r="4" spans="1:20" ht="30" customHeight="1" thickTop="1" thickBot="1" x14ac:dyDescent="0.5">
      <c r="A4" s="92" t="s">
        <v>61</v>
      </c>
      <c r="B4" s="98"/>
      <c r="C4" s="97"/>
      <c r="D4" s="25"/>
      <c r="E4" s="93"/>
      <c r="F4" s="53"/>
      <c r="G4" s="124"/>
      <c r="H4" s="53"/>
      <c r="I4" s="53"/>
      <c r="J4" s="53"/>
      <c r="K4" s="53"/>
      <c r="L4" s="53"/>
      <c r="M4" s="53"/>
      <c r="N4" s="53"/>
      <c r="O4" s="53"/>
      <c r="P4" s="53"/>
      <c r="Q4" s="53"/>
      <c r="R4" s="53"/>
      <c r="S4" s="53"/>
    </row>
    <row r="5" spans="1:20" ht="19.95" customHeight="1" thickTop="1" thickBot="1" x14ac:dyDescent="0.5">
      <c r="A5" s="25"/>
      <c r="B5" s="99"/>
      <c r="C5" s="25"/>
      <c r="D5" s="25"/>
      <c r="E5" s="93"/>
      <c r="F5" s="53"/>
      <c r="G5" s="125"/>
      <c r="H5" s="53"/>
      <c r="I5" s="53"/>
      <c r="J5" s="53"/>
      <c r="K5" s="53"/>
      <c r="L5" s="53"/>
      <c r="M5" s="53"/>
      <c r="N5" s="53"/>
      <c r="O5" s="53"/>
      <c r="P5" s="53"/>
      <c r="Q5" s="53"/>
      <c r="R5" s="53"/>
      <c r="S5" s="53"/>
    </row>
    <row r="6" spans="1:20" ht="29.25" customHeight="1" thickTop="1" thickBot="1" x14ac:dyDescent="0.5">
      <c r="A6" s="94" t="s">
        <v>68</v>
      </c>
      <c r="B6" s="100"/>
      <c r="C6" s="101"/>
      <c r="D6" s="62" t="s">
        <v>20</v>
      </c>
      <c r="E6" s="103"/>
      <c r="F6" s="102"/>
      <c r="G6" s="126"/>
      <c r="H6" s="53"/>
      <c r="I6" s="53"/>
      <c r="J6" s="53"/>
      <c r="K6" s="53"/>
      <c r="L6" s="53"/>
      <c r="M6" s="53"/>
      <c r="N6" s="53"/>
      <c r="O6" s="53"/>
      <c r="P6" s="53"/>
      <c r="Q6" s="53"/>
      <c r="R6" s="53"/>
      <c r="S6" s="53"/>
    </row>
    <row r="7" spans="1:20" ht="11.25" customHeight="1" thickTop="1" x14ac:dyDescent="0.45">
      <c r="A7" s="25"/>
      <c r="B7" s="25"/>
      <c r="C7" s="25"/>
      <c r="D7" s="25"/>
      <c r="E7" s="25"/>
      <c r="F7" s="53"/>
      <c r="G7" s="53"/>
      <c r="H7" s="53"/>
      <c r="I7" s="53"/>
      <c r="J7" s="53"/>
      <c r="K7" s="53"/>
      <c r="L7" s="53"/>
      <c r="M7" s="53"/>
      <c r="N7" s="53"/>
      <c r="O7" s="53"/>
      <c r="P7" s="53"/>
      <c r="Q7" s="53"/>
      <c r="R7" s="53"/>
      <c r="S7" s="53"/>
    </row>
    <row r="8" spans="1:20" ht="15.6" customHeight="1" thickBot="1" x14ac:dyDescent="0.5">
      <c r="A8" s="95"/>
      <c r="B8" s="53"/>
      <c r="C8" s="53"/>
      <c r="D8" s="53"/>
      <c r="E8" s="53"/>
      <c r="F8" s="53"/>
      <c r="G8" s="53"/>
      <c r="H8" s="53"/>
      <c r="I8" s="53"/>
      <c r="J8" s="53"/>
      <c r="K8" s="53"/>
      <c r="L8" s="53"/>
      <c r="M8" s="53"/>
      <c r="N8" s="53"/>
      <c r="O8" s="53"/>
      <c r="P8" s="53"/>
      <c r="Q8" s="53"/>
      <c r="R8" s="53"/>
      <c r="S8" s="53"/>
    </row>
    <row r="9" spans="1:20" x14ac:dyDescent="0.45">
      <c r="A9" s="130" t="s">
        <v>49</v>
      </c>
      <c r="B9" s="131"/>
      <c r="C9" s="54"/>
      <c r="D9" s="134" t="s">
        <v>91</v>
      </c>
      <c r="E9" s="135"/>
      <c r="F9" s="53"/>
      <c r="G9" s="53"/>
      <c r="H9" s="53"/>
      <c r="I9" s="53"/>
      <c r="J9" s="53"/>
      <c r="K9" s="53"/>
      <c r="L9" s="53"/>
      <c r="M9" s="53"/>
      <c r="N9" s="53"/>
      <c r="O9" s="53"/>
      <c r="P9" s="53"/>
      <c r="Q9" s="53"/>
      <c r="R9" s="53"/>
      <c r="S9" s="126"/>
    </row>
    <row r="10" spans="1:20" ht="18.600000000000001" thickBot="1" x14ac:dyDescent="0.5">
      <c r="A10" s="132"/>
      <c r="B10" s="133"/>
      <c r="C10" s="54"/>
      <c r="D10" s="136"/>
      <c r="E10" s="137"/>
      <c r="F10" s="53"/>
      <c r="G10" s="53"/>
      <c r="H10" s="53"/>
      <c r="I10" s="53"/>
      <c r="J10" s="53"/>
      <c r="K10" s="53"/>
      <c r="L10" s="53"/>
      <c r="M10" s="53"/>
      <c r="N10" s="53"/>
      <c r="O10" s="53"/>
      <c r="P10" s="53"/>
      <c r="Q10" s="53"/>
      <c r="R10" s="53"/>
      <c r="S10" s="53"/>
    </row>
    <row r="11" spans="1:20" ht="29.25" customHeight="1" x14ac:dyDescent="0.45">
      <c r="A11" s="55" t="s">
        <v>24</v>
      </c>
      <c r="B11" s="104">
        <f>IF(B4="２か月検針",IF($B$6="",0,'2か月検針'!S20),IF($B$6="",0,'1か月検針'!S20))</f>
        <v>0</v>
      </c>
      <c r="C11" s="25"/>
      <c r="D11" s="114" t="s">
        <v>24</v>
      </c>
      <c r="E11" s="107">
        <f>IF(B4="２か月検針",IF(B6="",0,旧料金表!B4*2),IF(B6="",0,旧料金表!B4))</f>
        <v>0</v>
      </c>
      <c r="F11" s="53"/>
      <c r="G11" s="53"/>
      <c r="H11" s="53"/>
      <c r="I11" s="53"/>
      <c r="J11" s="53"/>
      <c r="K11" s="53"/>
      <c r="L11" s="53"/>
      <c r="M11" s="53"/>
      <c r="N11" s="53"/>
      <c r="O11" s="53"/>
      <c r="P11" s="53"/>
      <c r="Q11" s="53"/>
      <c r="R11" s="53"/>
      <c r="S11" s="53"/>
    </row>
    <row r="12" spans="1:20" ht="29.25" customHeight="1" x14ac:dyDescent="0.45">
      <c r="A12" s="110" t="s">
        <v>25</v>
      </c>
      <c r="B12" s="111">
        <f>IF(B4="２か月検針",IF($B$6="",0,'2か月検針'!S21),IF($B$6="",0,'1か月検針'!S21))</f>
        <v>0</v>
      </c>
      <c r="C12" s="25"/>
      <c r="D12" s="112" t="s">
        <v>44</v>
      </c>
      <c r="E12" s="113">
        <f>IF(B4="２か月検針",IF(B6="",0,旧料金表!B6),IF(B6="",0,旧料金表!B11))</f>
        <v>0</v>
      </c>
      <c r="F12" s="53"/>
      <c r="G12" s="53"/>
      <c r="H12" s="53"/>
      <c r="I12" s="53"/>
      <c r="J12" s="53"/>
      <c r="K12" s="53"/>
      <c r="L12" s="53"/>
      <c r="M12" s="53"/>
      <c r="N12" s="53"/>
      <c r="O12" s="53"/>
      <c r="P12" s="53"/>
      <c r="Q12" s="53"/>
      <c r="R12" s="53"/>
      <c r="S12" s="53"/>
    </row>
    <row r="13" spans="1:20" ht="29.25" customHeight="1" thickBot="1" x14ac:dyDescent="0.5">
      <c r="A13" s="115" t="s">
        <v>27</v>
      </c>
      <c r="B13" s="116">
        <f>ROUNDDOWN(IF(B4="２か月検針",IF($B$6="",0,'2か月検針'!S22),IF($B$6="",0,'1か月検針'!S22)),0)</f>
        <v>0</v>
      </c>
      <c r="C13" s="25"/>
      <c r="D13" s="117" t="s">
        <v>27</v>
      </c>
      <c r="E13" s="118">
        <f>ROUNDDOWN((E11+E12)*0.1,0)</f>
        <v>0</v>
      </c>
      <c r="F13" s="53"/>
      <c r="G13" s="53"/>
      <c r="H13" s="53"/>
      <c r="I13" s="53"/>
      <c r="J13" s="53"/>
      <c r="K13" s="53"/>
      <c r="L13" s="53"/>
      <c r="M13" s="53"/>
      <c r="N13" s="53"/>
      <c r="O13" s="53"/>
      <c r="P13" s="53"/>
      <c r="Q13" s="53"/>
      <c r="R13" s="53"/>
      <c r="S13" s="53"/>
    </row>
    <row r="14" spans="1:20" ht="29.25" customHeight="1" thickTop="1" thickBot="1" x14ac:dyDescent="0.5">
      <c r="A14" s="105" t="s">
        <v>26</v>
      </c>
      <c r="B14" s="106">
        <f>IF(B4="２か月検針",IF($B$6="",0,'2か月検針'!S23),IF($B$6="",0,'1か月検針'!S23))</f>
        <v>0</v>
      </c>
      <c r="C14" s="25"/>
      <c r="D14" s="108" t="s">
        <v>26</v>
      </c>
      <c r="E14" s="109">
        <f>SUM(E11:E13)</f>
        <v>0</v>
      </c>
      <c r="F14" s="53"/>
      <c r="G14" s="125" t="s">
        <v>94</v>
      </c>
      <c r="H14" s="53"/>
      <c r="I14" s="53"/>
      <c r="J14" s="53"/>
      <c r="K14" s="53"/>
      <c r="L14" s="53"/>
      <c r="M14" s="53"/>
      <c r="N14" s="53"/>
      <c r="O14" s="53"/>
      <c r="P14" s="53"/>
      <c r="Q14" s="53"/>
      <c r="R14" s="53"/>
      <c r="S14" s="53"/>
    </row>
    <row r="15" spans="1:20" ht="18.600000000000001" thickBot="1" x14ac:dyDescent="0.5">
      <c r="A15" s="53"/>
      <c r="B15" s="53"/>
      <c r="C15" s="53"/>
      <c r="D15" s="53"/>
      <c r="E15" s="53"/>
      <c r="F15" s="53"/>
      <c r="G15" s="126"/>
      <c r="H15" s="122" t="s">
        <v>96</v>
      </c>
      <c r="I15" s="53"/>
      <c r="J15" s="53"/>
      <c r="K15" s="53"/>
      <c r="L15" s="53"/>
      <c r="M15" s="53"/>
      <c r="N15" s="53"/>
      <c r="O15" s="53"/>
      <c r="P15" s="53"/>
      <c r="Q15" s="53"/>
      <c r="R15" s="53"/>
      <c r="S15" s="53"/>
    </row>
    <row r="16" spans="1:20" ht="29.25" customHeight="1" thickBot="1" x14ac:dyDescent="0.5">
      <c r="A16" s="58" t="s">
        <v>92</v>
      </c>
      <c r="B16" s="119">
        <f>B14-E14</f>
        <v>0</v>
      </c>
      <c r="C16" s="57"/>
      <c r="D16" s="58" t="s">
        <v>50</v>
      </c>
      <c r="E16" s="120" t="str">
        <f>IF(B16=0,"",B14/E14-1)</f>
        <v/>
      </c>
      <c r="F16" s="53"/>
      <c r="G16" s="126"/>
      <c r="H16" s="122" t="s">
        <v>97</v>
      </c>
      <c r="I16" s="53"/>
      <c r="J16" s="53"/>
      <c r="K16" s="53"/>
      <c r="L16" s="53"/>
      <c r="M16" s="53"/>
      <c r="N16" s="53"/>
      <c r="O16" s="53"/>
      <c r="P16" s="53"/>
      <c r="Q16" s="53"/>
      <c r="R16" s="53"/>
      <c r="S16" s="53"/>
    </row>
    <row r="17" spans="1:19" x14ac:dyDescent="0.45">
      <c r="A17" s="53"/>
      <c r="B17" s="53"/>
      <c r="C17" s="53"/>
      <c r="D17" s="53"/>
      <c r="E17" s="53"/>
      <c r="F17" s="53"/>
      <c r="G17" s="53"/>
      <c r="H17" s="122" t="s">
        <v>98</v>
      </c>
      <c r="I17" s="53"/>
      <c r="J17" s="53"/>
      <c r="K17" s="53"/>
      <c r="L17" s="53"/>
      <c r="M17" s="53"/>
      <c r="N17" s="53"/>
      <c r="O17" s="53"/>
      <c r="P17" s="53"/>
      <c r="Q17" s="53"/>
      <c r="R17" s="53"/>
      <c r="S17" s="53"/>
    </row>
    <row r="18" spans="1:19" x14ac:dyDescent="0.45">
      <c r="A18" s="53"/>
      <c r="B18" s="53"/>
      <c r="C18" s="53"/>
      <c r="D18" s="53"/>
      <c r="E18" s="53"/>
      <c r="F18" s="53"/>
      <c r="G18" s="53"/>
      <c r="H18" s="122" t="s">
        <v>95</v>
      </c>
      <c r="I18" s="53"/>
      <c r="J18" s="53"/>
      <c r="K18" s="53"/>
      <c r="L18" s="53"/>
      <c r="M18" s="53"/>
      <c r="N18" s="53"/>
      <c r="O18" s="53"/>
      <c r="P18" s="53"/>
      <c r="Q18" s="53"/>
      <c r="R18" s="53"/>
      <c r="S18" s="53"/>
    </row>
    <row r="19" spans="1:19" x14ac:dyDescent="0.45">
      <c r="A19" s="53"/>
      <c r="B19" s="53"/>
      <c r="C19" s="53"/>
      <c r="D19" s="53"/>
      <c r="E19" s="53"/>
      <c r="F19" s="53"/>
      <c r="G19" s="53"/>
      <c r="H19" s="53"/>
      <c r="I19" s="53"/>
      <c r="J19" s="53"/>
      <c r="K19" s="53"/>
      <c r="L19" s="53"/>
      <c r="M19" s="53"/>
      <c r="N19" s="53"/>
      <c r="O19" s="53"/>
      <c r="P19" s="53"/>
      <c r="Q19" s="53"/>
      <c r="R19" s="53"/>
      <c r="S19" s="53"/>
    </row>
    <row r="20" spans="1:19" x14ac:dyDescent="0.45">
      <c r="A20" s="53"/>
      <c r="B20" s="53"/>
      <c r="C20" s="53"/>
      <c r="D20" s="53"/>
      <c r="E20" s="53"/>
      <c r="F20" s="53"/>
      <c r="G20" s="124" t="s">
        <v>99</v>
      </c>
      <c r="H20" s="53"/>
      <c r="I20" s="53"/>
      <c r="J20" s="53"/>
      <c r="K20" s="53"/>
      <c r="L20" s="53"/>
      <c r="M20" s="53"/>
      <c r="N20" s="53"/>
      <c r="O20" s="53"/>
      <c r="P20" s="53"/>
      <c r="Q20" s="53"/>
      <c r="R20" s="53"/>
      <c r="S20" s="53"/>
    </row>
    <row r="21" spans="1:19" x14ac:dyDescent="0.45">
      <c r="A21" s="53"/>
      <c r="B21" s="53"/>
      <c r="C21" s="53"/>
      <c r="D21" s="53"/>
      <c r="E21" s="53"/>
      <c r="F21" s="53"/>
      <c r="G21" s="53"/>
      <c r="H21" s="53"/>
      <c r="I21" s="53"/>
      <c r="J21" s="53"/>
      <c r="K21" s="53"/>
      <c r="L21" s="53"/>
      <c r="M21" s="53"/>
      <c r="N21" s="53"/>
      <c r="O21" s="53"/>
      <c r="P21" s="53"/>
      <c r="Q21" s="53"/>
      <c r="R21" s="53"/>
      <c r="S21" s="53"/>
    </row>
    <row r="22" spans="1:19" x14ac:dyDescent="0.45">
      <c r="F22" s="53"/>
      <c r="G22" s="124"/>
      <c r="H22" s="53"/>
      <c r="I22" s="53"/>
      <c r="J22" s="53"/>
      <c r="K22" s="53"/>
      <c r="L22" s="53"/>
      <c r="M22" s="53"/>
      <c r="N22" s="53"/>
      <c r="O22" s="53"/>
      <c r="P22" s="53"/>
      <c r="Q22" s="53"/>
      <c r="R22" s="53"/>
      <c r="S22" s="53"/>
    </row>
    <row r="23" spans="1:19" x14ac:dyDescent="0.45">
      <c r="A23" s="30"/>
      <c r="G23" s="53"/>
      <c r="H23" s="123"/>
      <c r="I23" s="53"/>
      <c r="J23" s="53"/>
      <c r="K23" s="53"/>
      <c r="L23" s="53"/>
      <c r="M23" s="53"/>
      <c r="N23" s="53"/>
      <c r="O23" s="53"/>
      <c r="P23" s="53"/>
      <c r="Q23" s="53"/>
      <c r="R23" s="53"/>
      <c r="S23" s="53"/>
    </row>
    <row r="24" spans="1:19" x14ac:dyDescent="0.45">
      <c r="A24" s="30"/>
      <c r="G24" s="124"/>
      <c r="H24" s="53"/>
      <c r="I24" s="53"/>
      <c r="J24" s="53"/>
      <c r="K24" s="53"/>
      <c r="L24" s="53"/>
      <c r="M24" s="53"/>
      <c r="N24" s="53"/>
      <c r="O24" s="53"/>
      <c r="P24" s="53"/>
      <c r="Q24" s="53"/>
      <c r="R24" s="53"/>
      <c r="S24" s="53"/>
    </row>
    <row r="25" spans="1:19" x14ac:dyDescent="0.45">
      <c r="A25" s="30"/>
      <c r="H25" s="90"/>
    </row>
    <row r="28" spans="1:19" x14ac:dyDescent="0.45">
      <c r="A28" s="65"/>
    </row>
  </sheetData>
  <sheetProtection algorithmName="SHA-512" hashValue="ZBvPNQdoaRiUkx5Je55aVHCJXf7vn/e/eGceZSSPDGqiNP+kCbOhPejPCbYEZEls2MinQgZilV25yvqFRGHeCw==" saltValue="nCgSQQQpIGRApr/PkJ4Phg==" spinCount="100000" sheet="1" objects="1" scenarios="1"/>
  <mergeCells count="4">
    <mergeCell ref="A9:B10"/>
    <mergeCell ref="D9:E10"/>
    <mergeCell ref="A1:E2"/>
    <mergeCell ref="G1:S1"/>
  </mergeCells>
  <phoneticPr fontId="1"/>
  <dataValidations count="2">
    <dataValidation type="list" allowBlank="1" showInputMessage="1" showErrorMessage="1" sqref="B4">
      <formula1>"２か月検針,１か月検針"</formula1>
    </dataValidation>
    <dataValidation type="whole" allowBlank="1" showInputMessage="1" showErrorMessage="1" sqref="E6">
      <formula1>0</formula1>
      <formula2>999999</formula2>
    </dataValidation>
  </dataValidations>
  <pageMargins left="0.70866141732283472" right="0.70866141732283472" top="0.74803149606299213" bottom="0.74803149606299213" header="0.31496062992125984" footer="0.31496062992125984"/>
  <pageSetup paperSize="9" scale="62" orientation="landscape"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'2か月検針'!$A$5:$A$13</xm:f>
          </x14:formula1>
          <xm:sqref>B6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20"/>
  <sheetViews>
    <sheetView showGridLines="0" showRowColHeaders="0" zoomScale="85" zoomScaleNormal="85" workbookViewId="0">
      <selection activeCell="B3" sqref="B3"/>
    </sheetView>
  </sheetViews>
  <sheetFormatPr defaultColWidth="9" defaultRowHeight="18" x14ac:dyDescent="0.45"/>
  <cols>
    <col min="1" max="1" width="13" style="15" customWidth="1"/>
    <col min="2" max="2" width="15.5" style="15" bestFit="1" customWidth="1"/>
    <col min="3" max="3" width="9" style="15"/>
    <col min="4" max="4" width="13" style="15" bestFit="1" customWidth="1"/>
    <col min="5" max="5" width="15.5" style="15" bestFit="1" customWidth="1"/>
    <col min="6" max="6" width="9" style="15"/>
    <col min="7" max="7" width="12.19921875" style="15" customWidth="1"/>
    <col min="8" max="8" width="9" style="15"/>
    <col min="9" max="9" width="9.09765625" style="15" bestFit="1" customWidth="1"/>
    <col min="10" max="10" width="3.5" style="15" bestFit="1" customWidth="1"/>
    <col min="11" max="11" width="5.8984375" style="15" bestFit="1" customWidth="1"/>
    <col min="12" max="12" width="9" style="15"/>
    <col min="13" max="13" width="9.09765625" style="15" bestFit="1" customWidth="1"/>
    <col min="14" max="14" width="9" style="15"/>
    <col min="15" max="15" width="9.09765625" style="15" bestFit="1" customWidth="1"/>
    <col min="16" max="16" width="9" style="15"/>
    <col min="17" max="17" width="11.5" style="15" customWidth="1"/>
    <col min="18" max="16384" width="9" style="15"/>
  </cols>
  <sheetData>
    <row r="1" spans="1:17" ht="33.75" customHeight="1" x14ac:dyDescent="0.45">
      <c r="A1" s="143" t="s">
        <v>62</v>
      </c>
      <c r="B1" s="144"/>
      <c r="C1" s="144"/>
      <c r="D1" s="144"/>
      <c r="E1" s="144"/>
      <c r="F1" s="144"/>
      <c r="G1" s="145"/>
      <c r="H1" s="66"/>
    </row>
    <row r="2" spans="1:17" ht="13.2" customHeight="1" thickBot="1" x14ac:dyDescent="0.5">
      <c r="A2" s="67"/>
      <c r="B2" s="37"/>
      <c r="C2" s="54"/>
      <c r="D2" s="37"/>
      <c r="E2" s="37"/>
      <c r="F2" s="53"/>
      <c r="G2" s="48"/>
    </row>
    <row r="3" spans="1:17" ht="27.6" customHeight="1" thickBot="1" x14ac:dyDescent="0.5">
      <c r="A3" s="68" t="s">
        <v>63</v>
      </c>
      <c r="B3" s="45"/>
      <c r="C3" s="50" t="s">
        <v>65</v>
      </c>
      <c r="D3" s="46"/>
      <c r="E3" s="37"/>
      <c r="F3" s="53"/>
      <c r="G3" s="48"/>
    </row>
    <row r="4" spans="1:17" ht="11.4" customHeight="1" thickBot="1" x14ac:dyDescent="0.5">
      <c r="A4" s="69"/>
      <c r="B4" s="38"/>
      <c r="C4" s="70"/>
      <c r="D4" s="38"/>
      <c r="E4" s="38"/>
      <c r="F4" s="53"/>
      <c r="G4" s="48"/>
    </row>
    <row r="5" spans="1:17" ht="29.25" customHeight="1" thickBot="1" x14ac:dyDescent="0.5">
      <c r="A5" s="49" t="s">
        <v>19</v>
      </c>
      <c r="B5" s="43"/>
      <c r="C5" s="51" t="s">
        <v>66</v>
      </c>
      <c r="D5" s="25"/>
      <c r="E5" s="25"/>
      <c r="F5" s="53"/>
      <c r="G5" s="48"/>
      <c r="I5" s="142" t="s">
        <v>89</v>
      </c>
      <c r="J5" s="142"/>
      <c r="K5" s="142"/>
      <c r="L5" s="128" t="str">
        <f>IF(B3="２か月検針","(２か月間分に換算したもの)","")</f>
        <v/>
      </c>
      <c r="M5" s="75"/>
      <c r="N5" s="75"/>
      <c r="O5" s="75"/>
      <c r="P5" s="75"/>
      <c r="Q5" s="75"/>
    </row>
    <row r="6" spans="1:17" ht="11.25" customHeight="1" thickBot="1" x14ac:dyDescent="0.5">
      <c r="A6" s="49"/>
      <c r="B6" s="25"/>
      <c r="C6" s="71"/>
      <c r="D6" s="25"/>
      <c r="E6" s="25"/>
      <c r="F6" s="53"/>
      <c r="G6" s="48"/>
      <c r="I6" s="75"/>
      <c r="J6" s="75"/>
      <c r="K6" s="75"/>
      <c r="L6" s="75"/>
      <c r="M6" s="75"/>
      <c r="N6" s="75"/>
      <c r="O6" s="75"/>
      <c r="P6" s="75"/>
      <c r="Q6" s="75"/>
    </row>
    <row r="7" spans="1:17" ht="29.25" customHeight="1" thickBot="1" x14ac:dyDescent="0.5">
      <c r="A7" s="49" t="s">
        <v>20</v>
      </c>
      <c r="B7" s="44"/>
      <c r="C7" s="63" t="s">
        <v>67</v>
      </c>
      <c r="D7" s="25"/>
      <c r="E7" s="25"/>
      <c r="F7" s="53"/>
      <c r="G7" s="48"/>
      <c r="I7" s="146" t="s">
        <v>73</v>
      </c>
      <c r="J7" s="146"/>
      <c r="K7" s="146"/>
      <c r="L7" s="83"/>
      <c r="M7" s="86" t="s">
        <v>69</v>
      </c>
      <c r="N7" s="83"/>
      <c r="O7" s="86" t="s">
        <v>90</v>
      </c>
      <c r="P7" s="83"/>
      <c r="Q7" s="86" t="s">
        <v>70</v>
      </c>
    </row>
    <row r="8" spans="1:17" ht="27" customHeight="1" thickBot="1" x14ac:dyDescent="0.5">
      <c r="A8" s="49"/>
      <c r="B8" s="25"/>
      <c r="C8" s="25"/>
      <c r="D8" s="25"/>
      <c r="E8" s="25"/>
      <c r="F8" s="53"/>
      <c r="G8" s="48"/>
      <c r="I8" s="75">
        <v>1</v>
      </c>
      <c r="J8" s="75" t="s">
        <v>71</v>
      </c>
      <c r="K8" s="75">
        <f>IF($B$3="２か月検針",'2か月検針'!D4,'1か月検針'!D4)</f>
        <v>10</v>
      </c>
      <c r="L8" s="75" t="s">
        <v>72</v>
      </c>
      <c r="M8" s="76">
        <v>5</v>
      </c>
      <c r="N8" s="81" t="s">
        <v>87</v>
      </c>
      <c r="O8" s="77">
        <f>IF($B$3="２か月検針",'2か月検針'!T8,'1か月検針'!T8)</f>
        <v>0</v>
      </c>
      <c r="P8" s="81" t="s">
        <v>88</v>
      </c>
      <c r="Q8" s="87">
        <f>IF($B$3="２か月検針",'2か月検針'!T9,'1か月検針'!T9)</f>
        <v>0</v>
      </c>
    </row>
    <row r="9" spans="1:17" ht="29.25" customHeight="1" x14ac:dyDescent="0.45">
      <c r="A9" s="49" t="s">
        <v>24</v>
      </c>
      <c r="B9" s="39">
        <f>IF(B3="２か月検針",IF($B$5="",0,'2か月検針'!S8),IF($B$5="",0,'1か月検針'!S8))</f>
        <v>0</v>
      </c>
      <c r="C9" s="25"/>
      <c r="D9" s="25"/>
      <c r="E9" s="25"/>
      <c r="F9" s="53"/>
      <c r="G9" s="48"/>
      <c r="I9" s="75">
        <f>K8+1</f>
        <v>11</v>
      </c>
      <c r="J9" s="75" t="s">
        <v>71</v>
      </c>
      <c r="K9" s="75">
        <f>IF($B$3="２か月検針",'2か月検針'!F4,'1か月検針'!F4)</f>
        <v>20</v>
      </c>
      <c r="L9" s="75" t="s">
        <v>72</v>
      </c>
      <c r="M9" s="76">
        <v>150</v>
      </c>
      <c r="N9" s="81" t="s">
        <v>87</v>
      </c>
      <c r="O9" s="77">
        <f>IF($B$3="２か月検針",'2か月検針'!U$8,'1か月検針'!U$8)</f>
        <v>0</v>
      </c>
      <c r="P9" s="81" t="s">
        <v>88</v>
      </c>
      <c r="Q9" s="87">
        <f>IF($B$3="２か月検針",'2か月検針'!U$9,'1か月検針'!U$9)</f>
        <v>0</v>
      </c>
    </row>
    <row r="10" spans="1:17" ht="29.25" customHeight="1" x14ac:dyDescent="0.45">
      <c r="A10" s="49" t="s">
        <v>25</v>
      </c>
      <c r="B10" s="40">
        <f>IF(B3="２か月検針",IF($B$5="",0,'2か月検針'!S9),IF($B$5="",0,'1か月検針'!S9))</f>
        <v>0</v>
      </c>
      <c r="C10" s="25" t="s">
        <v>64</v>
      </c>
      <c r="D10" s="25"/>
      <c r="E10" s="25"/>
      <c r="F10" s="53"/>
      <c r="G10" s="72"/>
      <c r="I10" s="75">
        <f>K9+1</f>
        <v>21</v>
      </c>
      <c r="J10" s="75" t="s">
        <v>71</v>
      </c>
      <c r="K10" s="75">
        <f>IF($B$3="２か月検針",'2か月検針'!H4,'1か月検針'!H4)</f>
        <v>30</v>
      </c>
      <c r="L10" s="75" t="s">
        <v>72</v>
      </c>
      <c r="M10" s="76">
        <v>190</v>
      </c>
      <c r="N10" s="81" t="s">
        <v>87</v>
      </c>
      <c r="O10" s="77">
        <f>IF($B$3="２か月検針",'2か月検針'!V8,'1か月検針'!V8)</f>
        <v>0</v>
      </c>
      <c r="P10" s="81" t="s">
        <v>88</v>
      </c>
      <c r="Q10" s="87">
        <f>IF($B$3="２か月検針",'2か月検針'!V9,'1か月検針'!V9)</f>
        <v>0</v>
      </c>
    </row>
    <row r="11" spans="1:17" ht="29.25" customHeight="1" thickBot="1" x14ac:dyDescent="0.5">
      <c r="A11" s="49" t="s">
        <v>27</v>
      </c>
      <c r="B11" s="42">
        <f>ROUNDDOWN(SUM(B9:B10)*0.1,0)</f>
        <v>0</v>
      </c>
      <c r="C11" s="25"/>
      <c r="D11" s="25"/>
      <c r="E11" s="25"/>
      <c r="F11" s="53"/>
      <c r="G11" s="48"/>
      <c r="I11" s="75">
        <f>K10+1</f>
        <v>31</v>
      </c>
      <c r="J11" s="75" t="s">
        <v>71</v>
      </c>
      <c r="K11" s="75">
        <f>IF($B$3="２か月検針",'2か月検針'!J4,'1か月検針'!J4)</f>
        <v>40</v>
      </c>
      <c r="L11" s="75" t="s">
        <v>72</v>
      </c>
      <c r="M11" s="76">
        <v>240</v>
      </c>
      <c r="N11" s="81" t="s">
        <v>87</v>
      </c>
      <c r="O11" s="77">
        <f>IF($B$3="２か月検針",'2か月検針'!W8,'1か月検針'!W8)</f>
        <v>0</v>
      </c>
      <c r="P11" s="81" t="s">
        <v>88</v>
      </c>
      <c r="Q11" s="87">
        <f>IF($B$3="２か月検針",'2か月検針'!W9,'1か月検針'!W9)</f>
        <v>0</v>
      </c>
    </row>
    <row r="12" spans="1:17" ht="28.95" customHeight="1" thickTop="1" thickBot="1" x14ac:dyDescent="0.5">
      <c r="A12" s="49" t="s">
        <v>26</v>
      </c>
      <c r="B12" s="41">
        <f>SUM(B9:B11)</f>
        <v>0</v>
      </c>
      <c r="C12" s="25"/>
      <c r="D12" s="25"/>
      <c r="E12" s="25"/>
      <c r="F12" s="53"/>
      <c r="G12" s="48"/>
      <c r="I12" s="75">
        <f>K11+1</f>
        <v>41</v>
      </c>
      <c r="J12" s="75" t="s">
        <v>71</v>
      </c>
      <c r="K12" s="75">
        <f>IF($B$3="２か月検針",'2か月検針'!L4,'1か月検針'!L4)</f>
        <v>50</v>
      </c>
      <c r="L12" s="75" t="s">
        <v>72</v>
      </c>
      <c r="M12" s="76">
        <v>275</v>
      </c>
      <c r="N12" s="81" t="s">
        <v>87</v>
      </c>
      <c r="O12" s="77">
        <f>IF($B$3="２か月検針",'2か月検針'!X8,'1か月検針'!X8)</f>
        <v>0</v>
      </c>
      <c r="P12" s="81" t="s">
        <v>88</v>
      </c>
      <c r="Q12" s="87">
        <f>IF($B$3="２か月検針",'2か月検針'!X9,'1か月検針'!X9)</f>
        <v>0</v>
      </c>
    </row>
    <row r="13" spans="1:17" ht="27" customHeight="1" thickBot="1" x14ac:dyDescent="0.5">
      <c r="A13" s="56"/>
      <c r="B13" s="53"/>
      <c r="C13" s="53"/>
      <c r="D13" s="53"/>
      <c r="E13" s="53"/>
      <c r="F13" s="53"/>
      <c r="G13" s="48"/>
      <c r="I13" s="78">
        <f>K12+1</f>
        <v>51</v>
      </c>
      <c r="J13" s="78" t="s">
        <v>71</v>
      </c>
      <c r="K13" s="78"/>
      <c r="L13" s="78"/>
      <c r="M13" s="79">
        <v>300</v>
      </c>
      <c r="N13" s="82" t="s">
        <v>87</v>
      </c>
      <c r="O13" s="80">
        <f>IF($B$3="２か月検針",'2か月検針'!Y8,'1か月検針'!Y8)</f>
        <v>0</v>
      </c>
      <c r="P13" s="82" t="s">
        <v>88</v>
      </c>
      <c r="Q13" s="88">
        <f>IF($B$3="２か月検針",'2か月検針'!Y9,'1か月検針'!Y9)</f>
        <v>0</v>
      </c>
    </row>
    <row r="14" spans="1:17" ht="20.399999999999999" customHeight="1" thickTop="1" x14ac:dyDescent="0.45">
      <c r="A14" s="73" t="s">
        <v>102</v>
      </c>
      <c r="B14" s="53"/>
      <c r="C14" s="53"/>
      <c r="D14" s="53"/>
      <c r="E14" s="53"/>
      <c r="F14" s="53"/>
      <c r="G14" s="48"/>
      <c r="I14" s="141" t="s">
        <v>86</v>
      </c>
      <c r="J14" s="141"/>
      <c r="K14" s="141"/>
      <c r="L14" s="84"/>
      <c r="M14" s="84"/>
      <c r="N14" s="84"/>
      <c r="O14" s="85">
        <f>SUM(O8:O13)</f>
        <v>0</v>
      </c>
      <c r="P14" s="84"/>
      <c r="Q14" s="89">
        <f>SUM(Q8:Q13)</f>
        <v>0</v>
      </c>
    </row>
    <row r="15" spans="1:17" ht="20.399999999999999" customHeight="1" x14ac:dyDescent="0.45">
      <c r="A15" s="52" t="s">
        <v>101</v>
      </c>
      <c r="B15" s="53"/>
      <c r="C15" s="53"/>
      <c r="D15" s="53"/>
      <c r="E15" s="53"/>
      <c r="F15" s="53"/>
      <c r="G15" s="48"/>
    </row>
    <row r="16" spans="1:17" ht="20.399999999999999" customHeight="1" x14ac:dyDescent="0.45">
      <c r="A16" s="73" t="s">
        <v>103</v>
      </c>
      <c r="B16" s="53"/>
      <c r="C16" s="53"/>
      <c r="D16" s="53"/>
      <c r="E16" s="53"/>
      <c r="F16" s="53"/>
      <c r="G16" s="48"/>
    </row>
    <row r="17" spans="1:7" x14ac:dyDescent="0.45">
      <c r="A17" s="73" t="s">
        <v>104</v>
      </c>
      <c r="B17" s="53"/>
      <c r="C17" s="53"/>
      <c r="D17" s="53"/>
      <c r="E17" s="53"/>
      <c r="F17" s="53"/>
      <c r="G17" s="48"/>
    </row>
    <row r="18" spans="1:7" ht="11.4" customHeight="1" thickBot="1" x14ac:dyDescent="0.5">
      <c r="A18" s="59"/>
      <c r="B18" s="60"/>
      <c r="C18" s="60"/>
      <c r="D18" s="60"/>
      <c r="E18" s="60"/>
      <c r="F18" s="60"/>
      <c r="G18" s="61"/>
    </row>
    <row r="19" spans="1:7" x14ac:dyDescent="0.45">
      <c r="A19" s="129"/>
      <c r="B19" s="53"/>
      <c r="C19" s="53"/>
      <c r="D19" s="53"/>
      <c r="E19" s="53"/>
      <c r="F19" s="53"/>
      <c r="G19" s="53"/>
    </row>
    <row r="20" spans="1:7" x14ac:dyDescent="0.45">
      <c r="A20" s="53"/>
      <c r="B20" s="53"/>
      <c r="C20" s="53"/>
      <c r="D20" s="53"/>
      <c r="E20" s="53"/>
      <c r="F20" s="53"/>
      <c r="G20" s="53"/>
    </row>
  </sheetData>
  <sheetProtection algorithmName="SHA-512" hashValue="vLg4eL6btf1wuvsVJOIozmRAf2QgntexftiN7FFVNdVJCwAfStOx8eQ8raM8Mgs9yVanubl8kdP1Qu5g0gGNZA==" saltValue="aW0wnlxwVULf/LyVWb6Djw==" spinCount="100000" sheet="1" objects="1" scenarios="1"/>
  <mergeCells count="4">
    <mergeCell ref="I14:K14"/>
    <mergeCell ref="I5:K5"/>
    <mergeCell ref="A1:G1"/>
    <mergeCell ref="I7:K7"/>
  </mergeCells>
  <phoneticPr fontId="1"/>
  <conditionalFormatting sqref="I8:Q14">
    <cfRule type="expression" dxfId="0" priority="1">
      <formula>MOD(ROW(), 2)=1</formula>
    </cfRule>
  </conditionalFormatting>
  <dataValidations count="2">
    <dataValidation type="whole" allowBlank="1" showInputMessage="1" showErrorMessage="1" sqref="B7">
      <formula1>0</formula1>
      <formula2>999999</formula2>
    </dataValidation>
    <dataValidation type="list" allowBlank="1" showInputMessage="1" showErrorMessage="1" sqref="B3">
      <formula1>"２か月検針,１か月検針"</formula1>
    </dataValidation>
  </dataValidation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'2か月検針'!$A$5:$A$13</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27"/>
  <sheetViews>
    <sheetView zoomScale="85" zoomScaleNormal="85" workbookViewId="0">
      <selection activeCell="P21" sqref="P21"/>
    </sheetView>
  </sheetViews>
  <sheetFormatPr defaultRowHeight="18" x14ac:dyDescent="0.45"/>
  <cols>
    <col min="1" max="1" width="10.19921875" customWidth="1"/>
    <col min="3" max="3" width="5.19921875" bestFit="1" customWidth="1"/>
    <col min="4" max="11" width="5.3984375" bestFit="1" customWidth="1"/>
    <col min="12" max="13" width="6.3984375" bestFit="1" customWidth="1"/>
    <col min="14" max="16" width="5.19921875" bestFit="1" customWidth="1"/>
    <col min="18" max="18" width="12.69921875" customWidth="1"/>
    <col min="19" max="19" width="9.8984375" bestFit="1" customWidth="1"/>
  </cols>
  <sheetData>
    <row r="1" spans="1:25" x14ac:dyDescent="0.45">
      <c r="A1" s="1" t="s">
        <v>0</v>
      </c>
      <c r="B1" s="1"/>
      <c r="C1" s="1"/>
      <c r="D1" s="1"/>
      <c r="E1" s="1"/>
      <c r="F1" s="1"/>
      <c r="G1" s="1"/>
      <c r="H1" s="1"/>
      <c r="I1" s="1"/>
      <c r="J1" s="1"/>
      <c r="K1" s="1"/>
      <c r="L1" s="1"/>
      <c r="M1" s="1"/>
      <c r="N1" s="1"/>
      <c r="O1" s="1"/>
      <c r="P1" s="1"/>
      <c r="R1" s="32" t="s">
        <v>1</v>
      </c>
    </row>
    <row r="2" spans="1:25" x14ac:dyDescent="0.45">
      <c r="A2" s="150" t="s">
        <v>2</v>
      </c>
      <c r="B2" s="151" t="s">
        <v>3</v>
      </c>
      <c r="C2" s="151" t="s">
        <v>4</v>
      </c>
      <c r="D2" s="151"/>
      <c r="E2" s="151"/>
      <c r="F2" s="151"/>
      <c r="G2" s="151"/>
      <c r="H2" s="151"/>
      <c r="I2" s="151"/>
      <c r="J2" s="151"/>
      <c r="K2" s="151"/>
      <c r="L2" s="151"/>
      <c r="M2" s="151"/>
      <c r="N2" s="151"/>
      <c r="O2" s="151"/>
      <c r="P2" s="151"/>
      <c r="R2" s="2" t="s">
        <v>28</v>
      </c>
    </row>
    <row r="3" spans="1:25" ht="18.600000000000001" thickBot="1" x14ac:dyDescent="0.5">
      <c r="A3" s="151"/>
      <c r="B3" s="151"/>
      <c r="C3" s="3" t="s">
        <v>5</v>
      </c>
      <c r="D3" s="3" t="s">
        <v>6</v>
      </c>
      <c r="E3" s="3" t="s">
        <v>7</v>
      </c>
      <c r="F3" s="3" t="s">
        <v>8</v>
      </c>
      <c r="G3" s="3" t="s">
        <v>9</v>
      </c>
      <c r="H3" s="3" t="s">
        <v>10</v>
      </c>
      <c r="I3" s="3" t="s">
        <v>11</v>
      </c>
      <c r="J3" s="3" t="s">
        <v>12</v>
      </c>
      <c r="K3" s="3" t="s">
        <v>13</v>
      </c>
      <c r="L3" s="3" t="s">
        <v>14</v>
      </c>
      <c r="M3" s="3" t="s">
        <v>15</v>
      </c>
      <c r="N3" s="3" t="s">
        <v>16</v>
      </c>
      <c r="O3" s="3" t="s">
        <v>17</v>
      </c>
      <c r="P3" s="3" t="s">
        <v>18</v>
      </c>
    </row>
    <row r="4" spans="1:25" ht="18.600000000000001" thickBot="1" x14ac:dyDescent="0.5">
      <c r="A4" s="151"/>
      <c r="B4" s="151"/>
      <c r="C4" s="4">
        <v>1</v>
      </c>
      <c r="D4" s="5">
        <v>10</v>
      </c>
      <c r="E4" s="4">
        <v>11</v>
      </c>
      <c r="F4" s="5">
        <v>20</v>
      </c>
      <c r="G4" s="4">
        <v>21</v>
      </c>
      <c r="H4" s="5">
        <v>30</v>
      </c>
      <c r="I4" s="4">
        <v>31</v>
      </c>
      <c r="J4" s="5">
        <v>40</v>
      </c>
      <c r="K4" s="4">
        <v>41</v>
      </c>
      <c r="L4" s="5">
        <v>50</v>
      </c>
      <c r="M4" s="4">
        <v>51</v>
      </c>
      <c r="N4" s="5"/>
      <c r="O4" s="4"/>
      <c r="P4" s="5"/>
      <c r="R4" t="s">
        <v>19</v>
      </c>
      <c r="S4" s="12">
        <f>新料金!B5</f>
        <v>0</v>
      </c>
    </row>
    <row r="5" spans="1:25" ht="18.600000000000001" thickBot="1" x14ac:dyDescent="0.5">
      <c r="A5" s="6">
        <v>13</v>
      </c>
      <c r="B5" s="7">
        <v>780</v>
      </c>
      <c r="C5" s="147">
        <v>5</v>
      </c>
      <c r="D5" s="148"/>
      <c r="E5" s="147">
        <v>150</v>
      </c>
      <c r="F5" s="148"/>
      <c r="G5" s="147">
        <v>190</v>
      </c>
      <c r="H5" s="148"/>
      <c r="I5" s="147">
        <v>240</v>
      </c>
      <c r="J5" s="148"/>
      <c r="K5" s="147">
        <v>275</v>
      </c>
      <c r="L5" s="148"/>
      <c r="M5" s="147">
        <v>300</v>
      </c>
      <c r="N5" s="148"/>
      <c r="O5" s="147"/>
      <c r="P5" s="148"/>
    </row>
    <row r="6" spans="1:25" ht="18.600000000000001" thickBot="1" x14ac:dyDescent="0.5">
      <c r="A6" s="6">
        <v>20</v>
      </c>
      <c r="B6" s="7">
        <v>780</v>
      </c>
      <c r="C6" s="147">
        <v>5</v>
      </c>
      <c r="D6" s="148"/>
      <c r="E6" s="147">
        <v>150</v>
      </c>
      <c r="F6" s="148"/>
      <c r="G6" s="147">
        <v>190</v>
      </c>
      <c r="H6" s="148"/>
      <c r="I6" s="147">
        <v>240</v>
      </c>
      <c r="J6" s="148"/>
      <c r="K6" s="147">
        <v>275</v>
      </c>
      <c r="L6" s="148"/>
      <c r="M6" s="147">
        <v>300</v>
      </c>
      <c r="N6" s="148"/>
      <c r="O6" s="147"/>
      <c r="P6" s="148"/>
      <c r="R6" t="s">
        <v>20</v>
      </c>
      <c r="S6" s="13">
        <f>新料金!B7</f>
        <v>0</v>
      </c>
    </row>
    <row r="7" spans="1:25" x14ac:dyDescent="0.45">
      <c r="A7" s="6">
        <v>25</v>
      </c>
      <c r="B7" s="7">
        <v>850</v>
      </c>
      <c r="C7" s="147">
        <v>5</v>
      </c>
      <c r="D7" s="148"/>
      <c r="E7" s="147">
        <v>150</v>
      </c>
      <c r="F7" s="148"/>
      <c r="G7" s="147">
        <v>190</v>
      </c>
      <c r="H7" s="148"/>
      <c r="I7" s="147">
        <v>240</v>
      </c>
      <c r="J7" s="148"/>
      <c r="K7" s="147">
        <v>275</v>
      </c>
      <c r="L7" s="148"/>
      <c r="M7" s="147">
        <v>300</v>
      </c>
      <c r="N7" s="148"/>
      <c r="O7" s="147"/>
      <c r="P7" s="148"/>
      <c r="T7" s="74" t="s">
        <v>80</v>
      </c>
      <c r="U7" s="74" t="s">
        <v>81</v>
      </c>
      <c r="V7" s="74" t="s">
        <v>82</v>
      </c>
      <c r="W7" s="74" t="s">
        <v>83</v>
      </c>
      <c r="X7" s="74" t="s">
        <v>84</v>
      </c>
      <c r="Y7" s="74" t="s">
        <v>85</v>
      </c>
    </row>
    <row r="8" spans="1:25" x14ac:dyDescent="0.45">
      <c r="A8" s="6">
        <v>30</v>
      </c>
      <c r="B8" s="7">
        <v>1000</v>
      </c>
      <c r="C8" s="147">
        <v>5</v>
      </c>
      <c r="D8" s="148"/>
      <c r="E8" s="147">
        <v>150</v>
      </c>
      <c r="F8" s="148"/>
      <c r="G8" s="147">
        <v>190</v>
      </c>
      <c r="H8" s="148"/>
      <c r="I8" s="147">
        <v>240</v>
      </c>
      <c r="J8" s="148"/>
      <c r="K8" s="147">
        <v>275</v>
      </c>
      <c r="L8" s="148"/>
      <c r="M8" s="147">
        <v>300</v>
      </c>
      <c r="N8" s="148"/>
      <c r="O8" s="147"/>
      <c r="P8" s="148"/>
      <c r="R8" t="s">
        <v>24</v>
      </c>
      <c r="S8" s="9" t="e">
        <f>LOOKUP(S4,A5:B14,B5:B14)</f>
        <v>#N/A</v>
      </c>
      <c r="T8" s="74">
        <f>IF(S6&lt;E4,S6,D4)</f>
        <v>0</v>
      </c>
      <c r="U8" s="74">
        <f>IF($S$6&lt;E4,0,IF($S$6&lt;G4,$S$6-D4,F4-D4))</f>
        <v>0</v>
      </c>
      <c r="V8" s="74">
        <f>IF($S$6&lt;G4,0,IF($S$6&lt;I4,$S$6-F4,H4-F4))</f>
        <v>0</v>
      </c>
      <c r="W8" s="74">
        <f>IF($S$6&lt;I4,0,IF($S$6&lt;K4,$S$6-H4,J4-H4))</f>
        <v>0</v>
      </c>
      <c r="X8" s="74">
        <f>IF($S$6&lt;K4,0,IF($S$6&lt;M4,$S$6-J4,L4-J4))</f>
        <v>0</v>
      </c>
      <c r="Y8" s="74">
        <f>IF(L4&lt;S6,S6-L4,0)</f>
        <v>0</v>
      </c>
    </row>
    <row r="9" spans="1:25" x14ac:dyDescent="0.45">
      <c r="A9" s="6">
        <v>40</v>
      </c>
      <c r="B9" s="7">
        <v>1500</v>
      </c>
      <c r="C9" s="147">
        <v>5</v>
      </c>
      <c r="D9" s="148"/>
      <c r="E9" s="147">
        <v>150</v>
      </c>
      <c r="F9" s="148"/>
      <c r="G9" s="147">
        <v>190</v>
      </c>
      <c r="H9" s="148"/>
      <c r="I9" s="147">
        <v>240</v>
      </c>
      <c r="J9" s="148"/>
      <c r="K9" s="147">
        <v>275</v>
      </c>
      <c r="L9" s="148"/>
      <c r="M9" s="147">
        <v>300</v>
      </c>
      <c r="N9" s="148"/>
      <c r="O9" s="147"/>
      <c r="P9" s="148"/>
      <c r="R9" t="s">
        <v>25</v>
      </c>
      <c r="S9" s="9">
        <f>IF(S4&lt;&gt;"臨時用",SUM(T9:Y9),T10)</f>
        <v>0</v>
      </c>
      <c r="T9" s="31">
        <f>IF(S6&lt;E4,C5*S6,C5*D4)</f>
        <v>0</v>
      </c>
      <c r="U9" s="31">
        <f>IF($S$6&lt;E4,0,IF($S$6&lt;G4,E5*($S$6-D4),E5*(F4-D4)))</f>
        <v>0</v>
      </c>
      <c r="V9" s="31">
        <f>IF(S6&lt;G4,0,IF(S6&lt;I4,G5*(S6-F4),G5*(H4-F4)))</f>
        <v>0</v>
      </c>
      <c r="W9" s="31">
        <f>IF(S6&lt;I4,0,IF(S6&lt;K4,I5*(S6-H4),I5*(J4-H4)))</f>
        <v>0</v>
      </c>
      <c r="X9" s="31">
        <f>IF(S6&lt;K4,0,IF(S6&lt;M4,K5*(S6-J4),K5*(L4-J4)))</f>
        <v>0</v>
      </c>
      <c r="Y9" s="31">
        <f>IF(L4&lt;S6,M5*(S6-L4),0)</f>
        <v>0</v>
      </c>
    </row>
    <row r="10" spans="1:25" ht="18.600000000000001" thickBot="1" x14ac:dyDescent="0.5">
      <c r="A10" s="6">
        <v>50</v>
      </c>
      <c r="B10" s="7">
        <v>3000</v>
      </c>
      <c r="C10" s="147">
        <v>5</v>
      </c>
      <c r="D10" s="148"/>
      <c r="E10" s="147">
        <v>150</v>
      </c>
      <c r="F10" s="148"/>
      <c r="G10" s="147">
        <v>190</v>
      </c>
      <c r="H10" s="148"/>
      <c r="I10" s="147">
        <v>240</v>
      </c>
      <c r="J10" s="148"/>
      <c r="K10" s="147">
        <v>275</v>
      </c>
      <c r="L10" s="148"/>
      <c r="M10" s="147">
        <v>300</v>
      </c>
      <c r="N10" s="148"/>
      <c r="O10" s="147"/>
      <c r="P10" s="148"/>
      <c r="R10" t="s">
        <v>27</v>
      </c>
      <c r="S10" s="10" t="e">
        <f>ROUNDDOWN(SUM(S8:S9)*0.1,0)</f>
        <v>#N/A</v>
      </c>
      <c r="T10">
        <f>IF(S4="臨時用",S6*C14,0)</f>
        <v>0</v>
      </c>
    </row>
    <row r="11" spans="1:25" ht="18.600000000000001" thickBot="1" x14ac:dyDescent="0.5">
      <c r="A11" s="6">
        <v>75</v>
      </c>
      <c r="B11" s="7">
        <v>8000</v>
      </c>
      <c r="C11" s="147">
        <v>5</v>
      </c>
      <c r="D11" s="148"/>
      <c r="E11" s="147">
        <v>150</v>
      </c>
      <c r="F11" s="148"/>
      <c r="G11" s="147">
        <v>190</v>
      </c>
      <c r="H11" s="148"/>
      <c r="I11" s="147">
        <v>240</v>
      </c>
      <c r="J11" s="148"/>
      <c r="K11" s="147">
        <v>275</v>
      </c>
      <c r="L11" s="148"/>
      <c r="M11" s="147">
        <v>300</v>
      </c>
      <c r="N11" s="148"/>
      <c r="O11" s="147"/>
      <c r="P11" s="148"/>
      <c r="R11" t="s">
        <v>26</v>
      </c>
      <c r="S11" s="11" t="e">
        <f>SUM(S8:S10)</f>
        <v>#N/A</v>
      </c>
    </row>
    <row r="12" spans="1:25" x14ac:dyDescent="0.45">
      <c r="A12" s="6">
        <v>100</v>
      </c>
      <c r="B12" s="7">
        <v>15000</v>
      </c>
      <c r="C12" s="147">
        <v>5</v>
      </c>
      <c r="D12" s="148"/>
      <c r="E12" s="147">
        <v>150</v>
      </c>
      <c r="F12" s="148"/>
      <c r="G12" s="147">
        <v>190</v>
      </c>
      <c r="H12" s="148"/>
      <c r="I12" s="147">
        <v>240</v>
      </c>
      <c r="J12" s="148"/>
      <c r="K12" s="147">
        <v>275</v>
      </c>
      <c r="L12" s="148"/>
      <c r="M12" s="147">
        <v>300</v>
      </c>
      <c r="N12" s="148"/>
      <c r="O12" s="147"/>
      <c r="P12" s="148"/>
    </row>
    <row r="13" spans="1:25" x14ac:dyDescent="0.45">
      <c r="A13" s="6">
        <v>150</v>
      </c>
      <c r="B13" s="7">
        <v>30000</v>
      </c>
      <c r="C13" s="147">
        <v>5</v>
      </c>
      <c r="D13" s="148"/>
      <c r="E13" s="147">
        <v>150</v>
      </c>
      <c r="F13" s="148"/>
      <c r="G13" s="147">
        <v>190</v>
      </c>
      <c r="H13" s="148"/>
      <c r="I13" s="147">
        <v>240</v>
      </c>
      <c r="J13" s="148"/>
      <c r="K13" s="147">
        <v>275</v>
      </c>
      <c r="L13" s="148"/>
      <c r="M13" s="147">
        <v>300</v>
      </c>
      <c r="N13" s="148"/>
      <c r="O13" s="147"/>
      <c r="P13" s="148"/>
    </row>
    <row r="14" spans="1:25" x14ac:dyDescent="0.45">
      <c r="A14" s="3" t="s">
        <v>23</v>
      </c>
      <c r="B14" s="7">
        <v>4000</v>
      </c>
      <c r="C14" s="147">
        <v>400</v>
      </c>
      <c r="D14" s="149"/>
      <c r="E14" s="149"/>
      <c r="F14" s="149"/>
      <c r="G14" s="149"/>
      <c r="H14" s="149"/>
      <c r="I14" s="149"/>
      <c r="J14" s="149"/>
      <c r="K14" s="149"/>
      <c r="L14" s="149"/>
      <c r="M14" s="149"/>
      <c r="N14" s="149"/>
      <c r="O14" s="149"/>
      <c r="P14" s="148"/>
      <c r="R14" s="32" t="s">
        <v>58</v>
      </c>
    </row>
    <row r="15" spans="1:25" ht="18.600000000000001" thickBot="1" x14ac:dyDescent="0.5">
      <c r="A15" s="3" t="s">
        <v>21</v>
      </c>
      <c r="B15" s="7"/>
      <c r="C15" s="147"/>
      <c r="D15" s="148"/>
      <c r="E15" s="147"/>
      <c r="F15" s="148"/>
      <c r="G15" s="147"/>
      <c r="H15" s="148"/>
      <c r="I15" s="147"/>
      <c r="J15" s="148"/>
      <c r="K15" s="147"/>
      <c r="L15" s="148"/>
      <c r="M15" s="147"/>
      <c r="N15" s="148"/>
      <c r="O15" s="147"/>
      <c r="P15" s="148"/>
    </row>
    <row r="16" spans="1:25" ht="18.600000000000001" thickBot="1" x14ac:dyDescent="0.5">
      <c r="A16" s="3" t="s">
        <v>22</v>
      </c>
      <c r="B16" s="7"/>
      <c r="C16" s="147"/>
      <c r="D16" s="148"/>
      <c r="E16" s="147"/>
      <c r="F16" s="148"/>
      <c r="G16" s="147"/>
      <c r="H16" s="148"/>
      <c r="I16" s="147"/>
      <c r="J16" s="148"/>
      <c r="K16" s="147"/>
      <c r="L16" s="148"/>
      <c r="M16" s="147"/>
      <c r="N16" s="148"/>
      <c r="O16" s="147"/>
      <c r="P16" s="148"/>
      <c r="R16" t="s">
        <v>19</v>
      </c>
      <c r="S16" s="12">
        <f>料金比較!B6</f>
        <v>0</v>
      </c>
      <c r="T16" s="14"/>
      <c r="U16" s="14"/>
      <c r="V16" s="14"/>
      <c r="W16" s="14"/>
      <c r="X16" s="14"/>
      <c r="Y16" s="14"/>
    </row>
    <row r="17" spans="1:25" ht="18.600000000000001" thickBot="1" x14ac:dyDescent="0.5">
      <c r="T17" s="14"/>
      <c r="U17" s="14"/>
      <c r="V17" s="14"/>
      <c r="W17" s="14"/>
      <c r="X17" s="14"/>
      <c r="Y17" s="14"/>
    </row>
    <row r="18" spans="1:25" ht="18.600000000000001" thickBot="1" x14ac:dyDescent="0.5">
      <c r="R18" t="s">
        <v>20</v>
      </c>
      <c r="S18" s="13">
        <f>料金比較!E6</f>
        <v>0</v>
      </c>
      <c r="T18" s="14"/>
      <c r="U18" s="14"/>
      <c r="V18" s="14"/>
      <c r="W18" s="14"/>
      <c r="X18" s="14"/>
      <c r="Y18" s="14"/>
    </row>
    <row r="19" spans="1:25" x14ac:dyDescent="0.45">
      <c r="A19" s="8"/>
      <c r="C19" s="1"/>
      <c r="T19" s="14"/>
      <c r="U19" s="14"/>
      <c r="V19" s="14"/>
      <c r="W19" s="14"/>
      <c r="X19" s="14"/>
      <c r="Y19" s="14"/>
    </row>
    <row r="20" spans="1:25" x14ac:dyDescent="0.45">
      <c r="A20" s="8"/>
      <c r="C20" s="1"/>
      <c r="R20" t="s">
        <v>24</v>
      </c>
      <c r="S20" s="9" t="e">
        <f>LOOKUP(S16,A5:B14,B5:B14)</f>
        <v>#N/A</v>
      </c>
      <c r="T20" s="14"/>
      <c r="U20" s="14"/>
      <c r="V20" s="14"/>
      <c r="W20" s="14"/>
      <c r="X20" s="14"/>
      <c r="Y20" s="14"/>
    </row>
    <row r="21" spans="1:25" x14ac:dyDescent="0.45">
      <c r="A21" s="8"/>
      <c r="C21" s="1"/>
      <c r="R21" t="s">
        <v>25</v>
      </c>
      <c r="S21" s="9">
        <f>IF(S16&lt;&gt;"臨時用",SUM(T21:Y21),T22)</f>
        <v>0</v>
      </c>
      <c r="T21" s="14">
        <f>IF(S18&lt;E4,C5*S18,C5*D4)</f>
        <v>0</v>
      </c>
      <c r="U21" s="14">
        <f>IF($S$18&lt;E4,0,IF($S$18&lt;G4,E5*($S$18-D4),E5*(F4-D4)))</f>
        <v>0</v>
      </c>
      <c r="V21" s="14">
        <f>IF(S18&lt;G4,0,IF(S18&lt;I4,G5*(S18-F4),G5*(H4-F4)))</f>
        <v>0</v>
      </c>
      <c r="W21" s="14">
        <f>IF(S18&lt;I4,0,IF(S18&lt;K4,I5*(S18-H4),I5*(J4-H4)))</f>
        <v>0</v>
      </c>
      <c r="X21" s="14">
        <f>IF(S18&lt;K4,0,IF(S18&lt;M4,K5*(S18-J4),K5*(L4-J4)))</f>
        <v>0</v>
      </c>
      <c r="Y21" s="14">
        <f>IF(L4&lt;S18,M5*(S18-L4),0)</f>
        <v>0</v>
      </c>
    </row>
    <row r="22" spans="1:25" ht="18.600000000000001" thickBot="1" x14ac:dyDescent="0.5">
      <c r="A22" s="8"/>
      <c r="C22" s="1"/>
      <c r="R22" t="s">
        <v>27</v>
      </c>
      <c r="S22" s="10" t="e">
        <f>ROUNDDOWN(SUM(S20:S21)*0.1,0)</f>
        <v>#N/A</v>
      </c>
      <c r="T22" s="14">
        <f>IF(S16="臨時用",S18*C14,0)</f>
        <v>0</v>
      </c>
      <c r="U22" s="14"/>
      <c r="V22" s="14"/>
      <c r="W22" s="14"/>
      <c r="X22" s="14"/>
      <c r="Y22" s="14"/>
    </row>
    <row r="23" spans="1:25" ht="18.600000000000001" thickBot="1" x14ac:dyDescent="0.5">
      <c r="A23" s="8"/>
      <c r="C23" s="1"/>
      <c r="R23" t="s">
        <v>26</v>
      </c>
      <c r="S23" s="11" t="e">
        <f>SUM(S20:S22)</f>
        <v>#N/A</v>
      </c>
      <c r="T23" s="14"/>
      <c r="U23" s="14"/>
      <c r="V23" s="14"/>
      <c r="W23" s="14"/>
      <c r="X23" s="14"/>
      <c r="Y23" s="14"/>
    </row>
    <row r="24" spans="1:25" x14ac:dyDescent="0.45">
      <c r="A24" s="8"/>
      <c r="C24" s="1"/>
    </row>
    <row r="25" spans="1:25" x14ac:dyDescent="0.45">
      <c r="A25" s="8"/>
      <c r="C25" s="1"/>
    </row>
    <row r="26" spans="1:25" x14ac:dyDescent="0.45">
      <c r="A26" s="8"/>
      <c r="C26" s="1"/>
    </row>
    <row r="27" spans="1:25" x14ac:dyDescent="0.45">
      <c r="A27" s="8"/>
      <c r="C27" s="1"/>
    </row>
  </sheetData>
  <mergeCells count="81">
    <mergeCell ref="A2:A4"/>
    <mergeCell ref="B2:B4"/>
    <mergeCell ref="C2:P2"/>
    <mergeCell ref="C5:D5"/>
    <mergeCell ref="E5:F5"/>
    <mergeCell ref="G5:H5"/>
    <mergeCell ref="I5:J5"/>
    <mergeCell ref="K5:L5"/>
    <mergeCell ref="M5:N5"/>
    <mergeCell ref="O5:P5"/>
    <mergeCell ref="O6:P6"/>
    <mergeCell ref="C7:D7"/>
    <mergeCell ref="E7:F7"/>
    <mergeCell ref="G7:H7"/>
    <mergeCell ref="I7:J7"/>
    <mergeCell ref="K7:L7"/>
    <mergeCell ref="M7:N7"/>
    <mergeCell ref="O7:P7"/>
    <mergeCell ref="C6:D6"/>
    <mergeCell ref="E6:F6"/>
    <mergeCell ref="G6:H6"/>
    <mergeCell ref="I6:J6"/>
    <mergeCell ref="K6:L6"/>
    <mergeCell ref="M6:N6"/>
    <mergeCell ref="O8:P8"/>
    <mergeCell ref="C9:D9"/>
    <mergeCell ref="E9:F9"/>
    <mergeCell ref="G9:H9"/>
    <mergeCell ref="I9:J9"/>
    <mergeCell ref="K9:L9"/>
    <mergeCell ref="M9:N9"/>
    <mergeCell ref="O9:P9"/>
    <mergeCell ref="C8:D8"/>
    <mergeCell ref="E8:F8"/>
    <mergeCell ref="G8:H8"/>
    <mergeCell ref="I8:J8"/>
    <mergeCell ref="K8:L8"/>
    <mergeCell ref="M8:N8"/>
    <mergeCell ref="M12:N12"/>
    <mergeCell ref="O10:P10"/>
    <mergeCell ref="C11:D11"/>
    <mergeCell ref="E11:F11"/>
    <mergeCell ref="G11:H11"/>
    <mergeCell ref="I11:J11"/>
    <mergeCell ref="K11:L11"/>
    <mergeCell ref="M11:N11"/>
    <mergeCell ref="O11:P11"/>
    <mergeCell ref="C10:D10"/>
    <mergeCell ref="E10:F10"/>
    <mergeCell ref="G10:H10"/>
    <mergeCell ref="I10:J10"/>
    <mergeCell ref="K10:L10"/>
    <mergeCell ref="M10:N10"/>
    <mergeCell ref="M15:N15"/>
    <mergeCell ref="O15:P15"/>
    <mergeCell ref="C14:P14"/>
    <mergeCell ref="O12:P12"/>
    <mergeCell ref="C13:D13"/>
    <mergeCell ref="E13:F13"/>
    <mergeCell ref="G13:H13"/>
    <mergeCell ref="I13:J13"/>
    <mergeCell ref="K13:L13"/>
    <mergeCell ref="M13:N13"/>
    <mergeCell ref="O13:P13"/>
    <mergeCell ref="C12:D12"/>
    <mergeCell ref="E12:F12"/>
    <mergeCell ref="G12:H12"/>
    <mergeCell ref="I12:J12"/>
    <mergeCell ref="K12:L12"/>
    <mergeCell ref="C15:D15"/>
    <mergeCell ref="E15:F15"/>
    <mergeCell ref="G15:H15"/>
    <mergeCell ref="I15:J15"/>
    <mergeCell ref="K15:L15"/>
    <mergeCell ref="O16:P16"/>
    <mergeCell ref="C16:D16"/>
    <mergeCell ref="E16:F16"/>
    <mergeCell ref="G16:H16"/>
    <mergeCell ref="I16:J16"/>
    <mergeCell ref="K16:L16"/>
    <mergeCell ref="M16:N16"/>
  </mergeCells>
  <phoneticPr fontId="1"/>
  <dataValidations count="1">
    <dataValidation type="list" allowBlank="1" showInputMessage="1" showErrorMessage="1" sqref="S4 S16">
      <formula1>$A$5:$A$13</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F27"/>
  <sheetViews>
    <sheetView zoomScale="85" zoomScaleNormal="85" workbookViewId="0">
      <selection activeCell="P21" sqref="P21"/>
    </sheetView>
  </sheetViews>
  <sheetFormatPr defaultRowHeight="18" x14ac:dyDescent="0.45"/>
  <cols>
    <col min="1" max="1" width="10.19921875" customWidth="1"/>
    <col min="3" max="3" width="5.19921875" bestFit="1" customWidth="1"/>
    <col min="4" max="11" width="5.3984375" bestFit="1" customWidth="1"/>
    <col min="12" max="13" width="6.3984375" bestFit="1" customWidth="1"/>
    <col min="14" max="16" width="5.19921875" bestFit="1" customWidth="1"/>
    <col min="18" max="18" width="12.69921875" customWidth="1"/>
    <col min="19" max="19" width="9.8984375" bestFit="1" customWidth="1"/>
    <col min="20" max="32" width="9" style="14"/>
  </cols>
  <sheetData>
    <row r="1" spans="1:25" x14ac:dyDescent="0.45">
      <c r="A1" s="1" t="s">
        <v>0</v>
      </c>
      <c r="B1" s="1"/>
      <c r="C1" s="1"/>
      <c r="D1" s="1"/>
      <c r="E1" s="1"/>
      <c r="F1" s="1"/>
      <c r="G1" s="1"/>
      <c r="H1" s="1"/>
      <c r="I1" s="1"/>
      <c r="J1" s="1"/>
      <c r="K1" s="1"/>
      <c r="L1" s="1"/>
      <c r="M1" s="1"/>
      <c r="N1" s="1"/>
      <c r="O1" s="1"/>
      <c r="P1" s="1"/>
      <c r="R1" s="32" t="s">
        <v>1</v>
      </c>
    </row>
    <row r="2" spans="1:25" x14ac:dyDescent="0.45">
      <c r="A2" s="150" t="s">
        <v>2</v>
      </c>
      <c r="B2" s="151" t="s">
        <v>3</v>
      </c>
      <c r="C2" s="151" t="s">
        <v>4</v>
      </c>
      <c r="D2" s="151"/>
      <c r="E2" s="151"/>
      <c r="F2" s="151"/>
      <c r="G2" s="151"/>
      <c r="H2" s="151"/>
      <c r="I2" s="151"/>
      <c r="J2" s="151"/>
      <c r="K2" s="151"/>
      <c r="L2" s="151"/>
      <c r="M2" s="151"/>
      <c r="N2" s="151"/>
      <c r="O2" s="151"/>
      <c r="P2" s="151"/>
      <c r="R2" s="2" t="s">
        <v>29</v>
      </c>
    </row>
    <row r="3" spans="1:25" ht="18.600000000000001" thickBot="1" x14ac:dyDescent="0.5">
      <c r="A3" s="151"/>
      <c r="B3" s="151"/>
      <c r="C3" s="3" t="s">
        <v>5</v>
      </c>
      <c r="D3" s="3" t="s">
        <v>6</v>
      </c>
      <c r="E3" s="3" t="s">
        <v>7</v>
      </c>
      <c r="F3" s="3" t="s">
        <v>8</v>
      </c>
      <c r="G3" s="3" t="s">
        <v>9</v>
      </c>
      <c r="H3" s="3" t="s">
        <v>10</v>
      </c>
      <c r="I3" s="3" t="s">
        <v>11</v>
      </c>
      <c r="J3" s="3" t="s">
        <v>12</v>
      </c>
      <c r="K3" s="3" t="s">
        <v>13</v>
      </c>
      <c r="L3" s="3" t="s">
        <v>14</v>
      </c>
      <c r="M3" s="3" t="s">
        <v>15</v>
      </c>
      <c r="N3" s="3" t="s">
        <v>16</v>
      </c>
      <c r="O3" s="3" t="s">
        <v>17</v>
      </c>
      <c r="P3" s="3" t="s">
        <v>18</v>
      </c>
    </row>
    <row r="4" spans="1:25" ht="18.600000000000001" thickBot="1" x14ac:dyDescent="0.5">
      <c r="A4" s="151"/>
      <c r="B4" s="151"/>
      <c r="C4" s="4">
        <v>1</v>
      </c>
      <c r="D4" s="5">
        <v>20</v>
      </c>
      <c r="E4" s="4">
        <v>21</v>
      </c>
      <c r="F4" s="5">
        <v>40</v>
      </c>
      <c r="G4" s="4">
        <v>41</v>
      </c>
      <c r="H4" s="5">
        <v>60</v>
      </c>
      <c r="I4" s="4">
        <v>61</v>
      </c>
      <c r="J4" s="5">
        <v>80</v>
      </c>
      <c r="K4" s="4">
        <v>81</v>
      </c>
      <c r="L4" s="5">
        <v>100</v>
      </c>
      <c r="M4" s="4">
        <v>101</v>
      </c>
      <c r="N4" s="5"/>
      <c r="O4" s="4"/>
      <c r="P4" s="5"/>
      <c r="R4" t="s">
        <v>19</v>
      </c>
      <c r="S4" s="12">
        <f>新料金!B5</f>
        <v>0</v>
      </c>
    </row>
    <row r="5" spans="1:25" ht="18.600000000000001" thickBot="1" x14ac:dyDescent="0.5">
      <c r="A5" s="6">
        <v>13</v>
      </c>
      <c r="B5" s="7">
        <v>780</v>
      </c>
      <c r="C5" s="147">
        <v>5</v>
      </c>
      <c r="D5" s="148"/>
      <c r="E5" s="147">
        <v>150</v>
      </c>
      <c r="F5" s="148"/>
      <c r="G5" s="147">
        <v>190</v>
      </c>
      <c r="H5" s="148"/>
      <c r="I5" s="147">
        <v>240</v>
      </c>
      <c r="J5" s="148"/>
      <c r="K5" s="147">
        <v>275</v>
      </c>
      <c r="L5" s="148"/>
      <c r="M5" s="147">
        <v>300</v>
      </c>
      <c r="N5" s="148"/>
      <c r="O5" s="147"/>
      <c r="P5" s="148"/>
    </row>
    <row r="6" spans="1:25" ht="18.600000000000001" thickBot="1" x14ac:dyDescent="0.5">
      <c r="A6" s="6">
        <v>20</v>
      </c>
      <c r="B6" s="7">
        <v>780</v>
      </c>
      <c r="C6" s="147">
        <v>5</v>
      </c>
      <c r="D6" s="148"/>
      <c r="E6" s="147">
        <v>150</v>
      </c>
      <c r="F6" s="148"/>
      <c r="G6" s="147">
        <v>190</v>
      </c>
      <c r="H6" s="148"/>
      <c r="I6" s="147">
        <v>240</v>
      </c>
      <c r="J6" s="148"/>
      <c r="K6" s="147">
        <v>275</v>
      </c>
      <c r="L6" s="148"/>
      <c r="M6" s="147">
        <v>300</v>
      </c>
      <c r="N6" s="148"/>
      <c r="O6" s="147"/>
      <c r="P6" s="148"/>
      <c r="R6" t="s">
        <v>20</v>
      </c>
      <c r="S6" s="13">
        <f>新料金!B7</f>
        <v>0</v>
      </c>
    </row>
    <row r="7" spans="1:25" x14ac:dyDescent="0.45">
      <c r="A7" s="6">
        <v>25</v>
      </c>
      <c r="B7" s="7">
        <v>850</v>
      </c>
      <c r="C7" s="147">
        <v>5</v>
      </c>
      <c r="D7" s="148"/>
      <c r="E7" s="147">
        <v>150</v>
      </c>
      <c r="F7" s="148"/>
      <c r="G7" s="147">
        <v>190</v>
      </c>
      <c r="H7" s="148"/>
      <c r="I7" s="147">
        <v>240</v>
      </c>
      <c r="J7" s="148"/>
      <c r="K7" s="147">
        <v>275</v>
      </c>
      <c r="L7" s="148"/>
      <c r="M7" s="147">
        <v>300</v>
      </c>
      <c r="N7" s="148"/>
      <c r="O7" s="147"/>
      <c r="P7" s="148"/>
      <c r="T7" s="74" t="s">
        <v>74</v>
      </c>
      <c r="U7" s="74" t="s">
        <v>75</v>
      </c>
      <c r="V7" s="74" t="s">
        <v>76</v>
      </c>
      <c r="W7" s="74" t="s">
        <v>77</v>
      </c>
      <c r="X7" s="74" t="s">
        <v>78</v>
      </c>
      <c r="Y7" s="74" t="s">
        <v>79</v>
      </c>
    </row>
    <row r="8" spans="1:25" x14ac:dyDescent="0.45">
      <c r="A8" s="6">
        <v>30</v>
      </c>
      <c r="B8" s="7">
        <v>1000</v>
      </c>
      <c r="C8" s="147">
        <v>5</v>
      </c>
      <c r="D8" s="148"/>
      <c r="E8" s="147">
        <v>150</v>
      </c>
      <c r="F8" s="148"/>
      <c r="G8" s="147">
        <v>190</v>
      </c>
      <c r="H8" s="148"/>
      <c r="I8" s="147">
        <v>240</v>
      </c>
      <c r="J8" s="148"/>
      <c r="K8" s="147">
        <v>275</v>
      </c>
      <c r="L8" s="148"/>
      <c r="M8" s="147">
        <v>300</v>
      </c>
      <c r="N8" s="148"/>
      <c r="O8" s="147"/>
      <c r="P8" s="148"/>
      <c r="R8" t="s">
        <v>24</v>
      </c>
      <c r="S8" s="9" t="e">
        <f>LOOKUP(S4,A5:B14,B5:B14)*2</f>
        <v>#N/A</v>
      </c>
      <c r="T8" s="74">
        <f>IF(S6&lt;E4,S6,D4)</f>
        <v>0</v>
      </c>
      <c r="U8" s="74">
        <f>IF($S$6&lt;E4,0,IF($S$6&lt;G4,$S$6-D4,F4-D4))</f>
        <v>0</v>
      </c>
      <c r="V8" s="74">
        <f>IF($S$6&lt;G4,0,IF($S$6&lt;I4,$S$6-F4,H4-F4))</f>
        <v>0</v>
      </c>
      <c r="W8" s="74">
        <f>IF($S$6&lt;I4,0,IF($S$6&lt;K4,$S$6-H4,J4-H4))</f>
        <v>0</v>
      </c>
      <c r="X8" s="74">
        <f>IF($S$6&lt;K4,0,IF($S$6&lt;M4,$S$6-J4,L4-J4))</f>
        <v>0</v>
      </c>
      <c r="Y8" s="74">
        <f>IF(L4&lt;S6,S6-L4,0)</f>
        <v>0</v>
      </c>
    </row>
    <row r="9" spans="1:25" x14ac:dyDescent="0.45">
      <c r="A9" s="6">
        <v>40</v>
      </c>
      <c r="B9" s="7">
        <v>1500</v>
      </c>
      <c r="C9" s="147">
        <v>5</v>
      </c>
      <c r="D9" s="148"/>
      <c r="E9" s="147">
        <v>150</v>
      </c>
      <c r="F9" s="148"/>
      <c r="G9" s="147">
        <v>190</v>
      </c>
      <c r="H9" s="148"/>
      <c r="I9" s="147">
        <v>240</v>
      </c>
      <c r="J9" s="148"/>
      <c r="K9" s="147">
        <v>275</v>
      </c>
      <c r="L9" s="148"/>
      <c r="M9" s="147">
        <v>300</v>
      </c>
      <c r="N9" s="148"/>
      <c r="O9" s="147"/>
      <c r="P9" s="148"/>
      <c r="R9" t="s">
        <v>25</v>
      </c>
      <c r="S9" s="9">
        <f>IF(S4&lt;&gt;"臨時用",SUM(T9:Y9),T10)</f>
        <v>0</v>
      </c>
      <c r="T9" s="14">
        <f>IF(S6&lt;E4,C5*S6,C5*D4)</f>
        <v>0</v>
      </c>
      <c r="U9" s="14">
        <f>IF($S$6&lt;E4,0,IF($S$6&lt;G4,E5*($S$6-D4),E5*(F4-D4)))</f>
        <v>0</v>
      </c>
      <c r="V9" s="14">
        <f>IF(S6&lt;G4,0,IF(S6&lt;I4,G5*(S6-F4),G5*(H4-F4)))</f>
        <v>0</v>
      </c>
      <c r="W9" s="14">
        <f>IF(S6&lt;I4,0,IF(S6&lt;K4,I5*(S6-H4),I5*(J4-H4)))</f>
        <v>0</v>
      </c>
      <c r="X9" s="14">
        <f>IF(S6&lt;K4,0,IF(S6&lt;M4,K5*(S6-J4),K5*(L4-J4)))</f>
        <v>0</v>
      </c>
      <c r="Y9" s="14">
        <f>IF(L4&lt;S6,M5*(S6-L4),0)</f>
        <v>0</v>
      </c>
    </row>
    <row r="10" spans="1:25" ht="18.600000000000001" thickBot="1" x14ac:dyDescent="0.5">
      <c r="A10" s="6">
        <v>50</v>
      </c>
      <c r="B10" s="7">
        <v>3000</v>
      </c>
      <c r="C10" s="147">
        <v>5</v>
      </c>
      <c r="D10" s="148"/>
      <c r="E10" s="147">
        <v>150</v>
      </c>
      <c r="F10" s="148"/>
      <c r="G10" s="147">
        <v>190</v>
      </c>
      <c r="H10" s="148"/>
      <c r="I10" s="147">
        <v>240</v>
      </c>
      <c r="J10" s="148"/>
      <c r="K10" s="147">
        <v>275</v>
      </c>
      <c r="L10" s="148"/>
      <c r="M10" s="147">
        <v>300</v>
      </c>
      <c r="N10" s="148"/>
      <c r="O10" s="147"/>
      <c r="P10" s="148"/>
      <c r="R10" t="s">
        <v>27</v>
      </c>
      <c r="S10" s="10" t="e">
        <f>ROUNDDOWN(SUM(S8:S9)*0.1,0)</f>
        <v>#N/A</v>
      </c>
      <c r="T10" s="14">
        <f>IF(S4="臨時用",S6*C14,0)</f>
        <v>0</v>
      </c>
    </row>
    <row r="11" spans="1:25" ht="18.600000000000001" thickBot="1" x14ac:dyDescent="0.5">
      <c r="A11" s="6">
        <v>75</v>
      </c>
      <c r="B11" s="7">
        <v>8000</v>
      </c>
      <c r="C11" s="147">
        <v>5</v>
      </c>
      <c r="D11" s="148"/>
      <c r="E11" s="147">
        <v>150</v>
      </c>
      <c r="F11" s="148"/>
      <c r="G11" s="147">
        <v>190</v>
      </c>
      <c r="H11" s="148"/>
      <c r="I11" s="147">
        <v>240</v>
      </c>
      <c r="J11" s="148"/>
      <c r="K11" s="147">
        <v>275</v>
      </c>
      <c r="L11" s="148"/>
      <c r="M11" s="147">
        <v>300</v>
      </c>
      <c r="N11" s="148"/>
      <c r="O11" s="147"/>
      <c r="P11" s="148"/>
      <c r="R11" t="s">
        <v>26</v>
      </c>
      <c r="S11" s="11" t="e">
        <f>SUM(S8:S10)</f>
        <v>#N/A</v>
      </c>
    </row>
    <row r="12" spans="1:25" x14ac:dyDescent="0.45">
      <c r="A12" s="6">
        <v>100</v>
      </c>
      <c r="B12" s="7">
        <v>15000</v>
      </c>
      <c r="C12" s="147">
        <v>5</v>
      </c>
      <c r="D12" s="148"/>
      <c r="E12" s="147">
        <v>150</v>
      </c>
      <c r="F12" s="148"/>
      <c r="G12" s="147">
        <v>190</v>
      </c>
      <c r="H12" s="148"/>
      <c r="I12" s="147">
        <v>240</v>
      </c>
      <c r="J12" s="148"/>
      <c r="K12" s="147">
        <v>275</v>
      </c>
      <c r="L12" s="148"/>
      <c r="M12" s="147">
        <v>300</v>
      </c>
      <c r="N12" s="148"/>
      <c r="O12" s="147"/>
      <c r="P12" s="148"/>
    </row>
    <row r="13" spans="1:25" x14ac:dyDescent="0.45">
      <c r="A13" s="6">
        <v>150</v>
      </c>
      <c r="B13" s="7">
        <v>30000</v>
      </c>
      <c r="C13" s="147">
        <v>5</v>
      </c>
      <c r="D13" s="148"/>
      <c r="E13" s="147">
        <v>150</v>
      </c>
      <c r="F13" s="148"/>
      <c r="G13" s="147">
        <v>190</v>
      </c>
      <c r="H13" s="148"/>
      <c r="I13" s="147">
        <v>240</v>
      </c>
      <c r="J13" s="148"/>
      <c r="K13" s="147">
        <v>275</v>
      </c>
      <c r="L13" s="148"/>
      <c r="M13" s="147">
        <v>300</v>
      </c>
      <c r="N13" s="148"/>
      <c r="O13" s="147"/>
      <c r="P13" s="148"/>
    </row>
    <row r="14" spans="1:25" x14ac:dyDescent="0.45">
      <c r="A14" s="3" t="s">
        <v>23</v>
      </c>
      <c r="B14" s="7">
        <v>4000</v>
      </c>
      <c r="C14" s="147">
        <v>400</v>
      </c>
      <c r="D14" s="149"/>
      <c r="E14" s="149"/>
      <c r="F14" s="149"/>
      <c r="G14" s="149"/>
      <c r="H14" s="149"/>
      <c r="I14" s="149"/>
      <c r="J14" s="149"/>
      <c r="K14" s="149"/>
      <c r="L14" s="149"/>
      <c r="M14" s="149"/>
      <c r="N14" s="149"/>
      <c r="O14" s="149"/>
      <c r="P14" s="148"/>
      <c r="R14" s="32" t="s">
        <v>57</v>
      </c>
    </row>
    <row r="15" spans="1:25" ht="18.600000000000001" thickBot="1" x14ac:dyDescent="0.5">
      <c r="A15" s="3" t="s">
        <v>21</v>
      </c>
      <c r="B15" s="7"/>
      <c r="C15" s="147"/>
      <c r="D15" s="148"/>
      <c r="E15" s="147"/>
      <c r="F15" s="148"/>
      <c r="G15" s="147"/>
      <c r="H15" s="148"/>
      <c r="I15" s="147"/>
      <c r="J15" s="148"/>
      <c r="K15" s="147"/>
      <c r="L15" s="148"/>
      <c r="M15" s="147"/>
      <c r="N15" s="148"/>
      <c r="O15" s="147"/>
      <c r="P15" s="148"/>
    </row>
    <row r="16" spans="1:25" ht="18.600000000000001" thickBot="1" x14ac:dyDescent="0.5">
      <c r="A16" s="3" t="s">
        <v>22</v>
      </c>
      <c r="B16" s="7"/>
      <c r="C16" s="147"/>
      <c r="D16" s="148"/>
      <c r="E16" s="147"/>
      <c r="F16" s="148"/>
      <c r="G16" s="147"/>
      <c r="H16" s="148"/>
      <c r="I16" s="147"/>
      <c r="J16" s="148"/>
      <c r="K16" s="147"/>
      <c r="L16" s="148"/>
      <c r="M16" s="147"/>
      <c r="N16" s="148"/>
      <c r="O16" s="147"/>
      <c r="P16" s="148"/>
      <c r="R16" t="s">
        <v>19</v>
      </c>
      <c r="S16" s="12">
        <f>料金比較!B6</f>
        <v>0</v>
      </c>
    </row>
    <row r="17" spans="1:25" ht="18.600000000000001" thickBot="1" x14ac:dyDescent="0.5"/>
    <row r="18" spans="1:25" ht="18.600000000000001" thickBot="1" x14ac:dyDescent="0.5">
      <c r="R18" t="s">
        <v>20</v>
      </c>
      <c r="S18" s="13">
        <f>料金比較!E6</f>
        <v>0</v>
      </c>
    </row>
    <row r="19" spans="1:25" x14ac:dyDescent="0.45">
      <c r="A19" s="8"/>
      <c r="C19" s="1"/>
    </row>
    <row r="20" spans="1:25" x14ac:dyDescent="0.45">
      <c r="A20" s="8"/>
      <c r="C20" s="1"/>
      <c r="R20" t="s">
        <v>24</v>
      </c>
      <c r="S20" s="9" t="e">
        <f>LOOKUP(S16,A5:B14,B5:B14)*2</f>
        <v>#N/A</v>
      </c>
    </row>
    <row r="21" spans="1:25" x14ac:dyDescent="0.45">
      <c r="A21" s="8"/>
      <c r="C21" s="1"/>
      <c r="R21" t="s">
        <v>25</v>
      </c>
      <c r="S21" s="9">
        <f>IF(S16&lt;&gt;"臨時用",SUM(T21:Y21),T22)</f>
        <v>0</v>
      </c>
      <c r="T21" s="14">
        <f>IF(S18&lt;E4,C5*S18,C5*D4)</f>
        <v>0</v>
      </c>
      <c r="U21" s="14">
        <f>IF($S$18&lt;E4,0,IF($S$18&lt;G4,E5*($S$18-D4),E5*(F4-D4)))</f>
        <v>0</v>
      </c>
      <c r="V21" s="14">
        <f>IF(S18&lt;G4,0,IF(S18&lt;I4,G5*(S18-F4),G5*(H4-F4)))</f>
        <v>0</v>
      </c>
      <c r="W21" s="14">
        <f>IF(S18&lt;I4,0,IF(S18&lt;K4,I5*(S18-H4),I5*(J4-H4)))</f>
        <v>0</v>
      </c>
      <c r="X21" s="14">
        <f>IF(S18&lt;K4,0,IF(S18&lt;M4,K5*(S18-J4),K5*(L4-J4)))</f>
        <v>0</v>
      </c>
      <c r="Y21" s="14">
        <f>IF(L4&lt;S18,M5*(S18-L4),0)</f>
        <v>0</v>
      </c>
    </row>
    <row r="22" spans="1:25" ht="18.600000000000001" thickBot="1" x14ac:dyDescent="0.5">
      <c r="A22" s="8"/>
      <c r="C22" s="1"/>
      <c r="R22" t="s">
        <v>27</v>
      </c>
      <c r="S22" s="10" t="e">
        <f>ROUNDDOWN(SUM(S20:S21)*0.1,0)</f>
        <v>#N/A</v>
      </c>
      <c r="T22" s="14">
        <f>IF(S16="臨時用",S18*C14,0)</f>
        <v>0</v>
      </c>
    </row>
    <row r="23" spans="1:25" ht="18.600000000000001" thickBot="1" x14ac:dyDescent="0.5">
      <c r="A23" s="8"/>
      <c r="C23" s="1"/>
      <c r="R23" t="s">
        <v>26</v>
      </c>
      <c r="S23" s="11" t="e">
        <f>SUM(S20:S22)</f>
        <v>#N/A</v>
      </c>
    </row>
    <row r="24" spans="1:25" x14ac:dyDescent="0.45">
      <c r="A24" s="8"/>
      <c r="C24" s="1"/>
    </row>
    <row r="25" spans="1:25" x14ac:dyDescent="0.45">
      <c r="A25" s="8"/>
      <c r="C25" s="1"/>
    </row>
    <row r="26" spans="1:25" x14ac:dyDescent="0.45">
      <c r="A26" s="8"/>
      <c r="C26" s="1"/>
    </row>
    <row r="27" spans="1:25" x14ac:dyDescent="0.45">
      <c r="A27" s="8"/>
      <c r="C27" s="1"/>
    </row>
  </sheetData>
  <mergeCells count="81">
    <mergeCell ref="A2:A4"/>
    <mergeCell ref="B2:B4"/>
    <mergeCell ref="C2:P2"/>
    <mergeCell ref="C5:D5"/>
    <mergeCell ref="E5:F5"/>
    <mergeCell ref="G5:H5"/>
    <mergeCell ref="I5:J5"/>
    <mergeCell ref="K5:L5"/>
    <mergeCell ref="M5:N5"/>
    <mergeCell ref="O5:P5"/>
    <mergeCell ref="O6:P6"/>
    <mergeCell ref="C7:D7"/>
    <mergeCell ref="E7:F7"/>
    <mergeCell ref="G7:H7"/>
    <mergeCell ref="I7:J7"/>
    <mergeCell ref="K7:L7"/>
    <mergeCell ref="M7:N7"/>
    <mergeCell ref="O7:P7"/>
    <mergeCell ref="C6:D6"/>
    <mergeCell ref="E6:F6"/>
    <mergeCell ref="G6:H6"/>
    <mergeCell ref="I6:J6"/>
    <mergeCell ref="K6:L6"/>
    <mergeCell ref="M6:N6"/>
    <mergeCell ref="O8:P8"/>
    <mergeCell ref="C9:D9"/>
    <mergeCell ref="E9:F9"/>
    <mergeCell ref="G9:H9"/>
    <mergeCell ref="I9:J9"/>
    <mergeCell ref="K9:L9"/>
    <mergeCell ref="M9:N9"/>
    <mergeCell ref="O9:P9"/>
    <mergeCell ref="C8:D8"/>
    <mergeCell ref="E8:F8"/>
    <mergeCell ref="G8:H8"/>
    <mergeCell ref="I8:J8"/>
    <mergeCell ref="K8:L8"/>
    <mergeCell ref="M8:N8"/>
    <mergeCell ref="M12:N12"/>
    <mergeCell ref="O10:P10"/>
    <mergeCell ref="C11:D11"/>
    <mergeCell ref="E11:F11"/>
    <mergeCell ref="G11:H11"/>
    <mergeCell ref="I11:J11"/>
    <mergeCell ref="K11:L11"/>
    <mergeCell ref="M11:N11"/>
    <mergeCell ref="O11:P11"/>
    <mergeCell ref="C10:D10"/>
    <mergeCell ref="E10:F10"/>
    <mergeCell ref="G10:H10"/>
    <mergeCell ref="I10:J10"/>
    <mergeCell ref="K10:L10"/>
    <mergeCell ref="M10:N10"/>
    <mergeCell ref="M15:N15"/>
    <mergeCell ref="O15:P15"/>
    <mergeCell ref="C14:P14"/>
    <mergeCell ref="O12:P12"/>
    <mergeCell ref="C13:D13"/>
    <mergeCell ref="E13:F13"/>
    <mergeCell ref="G13:H13"/>
    <mergeCell ref="I13:J13"/>
    <mergeCell ref="K13:L13"/>
    <mergeCell ref="M13:N13"/>
    <mergeCell ref="O13:P13"/>
    <mergeCell ref="C12:D12"/>
    <mergeCell ref="E12:F12"/>
    <mergeCell ref="G12:H12"/>
    <mergeCell ref="I12:J12"/>
    <mergeCell ref="K12:L12"/>
    <mergeCell ref="C15:D15"/>
    <mergeCell ref="E15:F15"/>
    <mergeCell ref="G15:H15"/>
    <mergeCell ref="I15:J15"/>
    <mergeCell ref="K15:L15"/>
    <mergeCell ref="O16:P16"/>
    <mergeCell ref="C16:D16"/>
    <mergeCell ref="E16:F16"/>
    <mergeCell ref="G16:H16"/>
    <mergeCell ref="I16:J16"/>
    <mergeCell ref="K16:L16"/>
    <mergeCell ref="M16:N16"/>
  </mergeCells>
  <phoneticPr fontId="1"/>
  <dataValidations count="1">
    <dataValidation type="list" allowBlank="1" showInputMessage="1" showErrorMessage="1" sqref="S4 S16">
      <formula1>$A$5:$A$13</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F27"/>
  <sheetViews>
    <sheetView workbookViewId="0">
      <selection activeCell="P21" sqref="P21"/>
    </sheetView>
  </sheetViews>
  <sheetFormatPr defaultRowHeight="18" x14ac:dyDescent="0.45"/>
  <cols>
    <col min="1" max="1" width="10.19921875" customWidth="1"/>
    <col min="3" max="3" width="5.19921875" bestFit="1" customWidth="1"/>
    <col min="4" max="11" width="5.3984375" bestFit="1" customWidth="1"/>
    <col min="12" max="13" width="6.3984375" bestFit="1" customWidth="1"/>
    <col min="14" max="16" width="5.19921875" bestFit="1" customWidth="1"/>
    <col min="18" max="18" width="12.69921875" customWidth="1"/>
    <col min="19" max="19" width="9.8984375" bestFit="1" customWidth="1"/>
    <col min="20" max="32" width="9" style="14"/>
  </cols>
  <sheetData>
    <row r="1" spans="1:25" x14ac:dyDescent="0.45">
      <c r="A1" s="1" t="s">
        <v>0</v>
      </c>
      <c r="B1" s="1"/>
      <c r="C1" s="1"/>
      <c r="D1" s="1"/>
      <c r="E1" s="1"/>
      <c r="F1" s="1"/>
      <c r="G1" s="1"/>
      <c r="H1" s="1"/>
      <c r="I1" s="1"/>
      <c r="J1" s="1"/>
      <c r="K1" s="1"/>
      <c r="L1" s="1"/>
      <c r="M1" s="1"/>
      <c r="N1" s="1"/>
      <c r="O1" s="1"/>
      <c r="P1" s="1"/>
      <c r="R1" s="32" t="s">
        <v>1</v>
      </c>
    </row>
    <row r="2" spans="1:25" x14ac:dyDescent="0.45">
      <c r="A2" s="150" t="s">
        <v>2</v>
      </c>
      <c r="B2" s="151" t="s">
        <v>3</v>
      </c>
      <c r="C2" s="151" t="s">
        <v>4</v>
      </c>
      <c r="D2" s="151"/>
      <c r="E2" s="151"/>
      <c r="F2" s="151"/>
      <c r="G2" s="151"/>
      <c r="H2" s="151"/>
      <c r="I2" s="151"/>
      <c r="J2" s="151"/>
      <c r="K2" s="151"/>
      <c r="L2" s="151"/>
      <c r="M2" s="151"/>
      <c r="N2" s="151"/>
      <c r="O2" s="151"/>
      <c r="P2" s="151"/>
      <c r="R2" s="2" t="s">
        <v>29</v>
      </c>
    </row>
    <row r="3" spans="1:25" ht="18.600000000000001" thickBot="1" x14ac:dyDescent="0.5">
      <c r="A3" s="151"/>
      <c r="B3" s="151"/>
      <c r="C3" s="3" t="s">
        <v>5</v>
      </c>
      <c r="D3" s="3" t="s">
        <v>6</v>
      </c>
      <c r="E3" s="3" t="s">
        <v>7</v>
      </c>
      <c r="F3" s="3" t="s">
        <v>8</v>
      </c>
      <c r="G3" s="3" t="s">
        <v>9</v>
      </c>
      <c r="H3" s="3" t="s">
        <v>10</v>
      </c>
      <c r="I3" s="3" t="s">
        <v>11</v>
      </c>
      <c r="J3" s="3" t="s">
        <v>12</v>
      </c>
      <c r="K3" s="3" t="s">
        <v>13</v>
      </c>
      <c r="L3" s="3" t="s">
        <v>14</v>
      </c>
      <c r="M3" s="3" t="s">
        <v>15</v>
      </c>
      <c r="N3" s="3" t="s">
        <v>16</v>
      </c>
      <c r="O3" s="3" t="s">
        <v>17</v>
      </c>
      <c r="P3" s="3" t="s">
        <v>18</v>
      </c>
    </row>
    <row r="4" spans="1:25" ht="18.600000000000001" thickBot="1" x14ac:dyDescent="0.5">
      <c r="A4" s="151"/>
      <c r="B4" s="151"/>
      <c r="C4" s="4">
        <v>1</v>
      </c>
      <c r="D4" s="5">
        <v>20</v>
      </c>
      <c r="E4" s="4">
        <v>21</v>
      </c>
      <c r="F4" s="5">
        <v>40</v>
      </c>
      <c r="G4" s="4">
        <v>41</v>
      </c>
      <c r="H4" s="5">
        <v>60</v>
      </c>
      <c r="I4" s="4">
        <v>61</v>
      </c>
      <c r="J4" s="5">
        <v>80</v>
      </c>
      <c r="K4" s="4">
        <v>81</v>
      </c>
      <c r="L4" s="5">
        <v>100</v>
      </c>
      <c r="M4" s="4">
        <v>101</v>
      </c>
      <c r="N4" s="5"/>
      <c r="O4" s="4"/>
      <c r="P4" s="5"/>
      <c r="R4" t="s">
        <v>19</v>
      </c>
      <c r="S4" s="12">
        <f>料金比較!B6</f>
        <v>0</v>
      </c>
    </row>
    <row r="5" spans="1:25" ht="18.600000000000001" thickBot="1" x14ac:dyDescent="0.5">
      <c r="A5" s="6">
        <v>13</v>
      </c>
      <c r="B5" s="7">
        <v>780</v>
      </c>
      <c r="C5" s="147">
        <v>5</v>
      </c>
      <c r="D5" s="148"/>
      <c r="E5" s="147">
        <v>150</v>
      </c>
      <c r="F5" s="148"/>
      <c r="G5" s="147">
        <v>190</v>
      </c>
      <c r="H5" s="148"/>
      <c r="I5" s="147">
        <v>240</v>
      </c>
      <c r="J5" s="148"/>
      <c r="K5" s="147">
        <v>275</v>
      </c>
      <c r="L5" s="148"/>
      <c r="M5" s="147">
        <v>300</v>
      </c>
      <c r="N5" s="148"/>
      <c r="O5" s="147"/>
      <c r="P5" s="148"/>
    </row>
    <row r="6" spans="1:25" ht="18.600000000000001" thickBot="1" x14ac:dyDescent="0.5">
      <c r="A6" s="6">
        <v>20</v>
      </c>
      <c r="B6" s="7">
        <v>780</v>
      </c>
      <c r="C6" s="147">
        <v>5</v>
      </c>
      <c r="D6" s="148"/>
      <c r="E6" s="147">
        <v>150</v>
      </c>
      <c r="F6" s="148"/>
      <c r="G6" s="147">
        <v>190</v>
      </c>
      <c r="H6" s="148"/>
      <c r="I6" s="147">
        <v>240</v>
      </c>
      <c r="J6" s="148"/>
      <c r="K6" s="147">
        <v>275</v>
      </c>
      <c r="L6" s="148"/>
      <c r="M6" s="147">
        <v>300</v>
      </c>
      <c r="N6" s="148"/>
      <c r="O6" s="147"/>
      <c r="P6" s="148"/>
      <c r="R6" t="s">
        <v>20</v>
      </c>
      <c r="S6" s="13">
        <f>料金比較!E6</f>
        <v>0</v>
      </c>
    </row>
    <row r="7" spans="1:25" x14ac:dyDescent="0.45">
      <c r="A7" s="6">
        <v>25</v>
      </c>
      <c r="B7" s="7">
        <v>850</v>
      </c>
      <c r="C7" s="147">
        <v>5</v>
      </c>
      <c r="D7" s="148"/>
      <c r="E7" s="147">
        <v>150</v>
      </c>
      <c r="F7" s="148"/>
      <c r="G7" s="147">
        <v>190</v>
      </c>
      <c r="H7" s="148"/>
      <c r="I7" s="147">
        <v>240</v>
      </c>
      <c r="J7" s="148"/>
      <c r="K7" s="147">
        <v>275</v>
      </c>
      <c r="L7" s="148"/>
      <c r="M7" s="147">
        <v>300</v>
      </c>
      <c r="N7" s="148"/>
      <c r="O7" s="147"/>
      <c r="P7" s="148"/>
    </row>
    <row r="8" spans="1:25" x14ac:dyDescent="0.45">
      <c r="A8" s="6">
        <v>30</v>
      </c>
      <c r="B8" s="7">
        <v>1000</v>
      </c>
      <c r="C8" s="147">
        <v>5</v>
      </c>
      <c r="D8" s="148"/>
      <c r="E8" s="147">
        <v>150</v>
      </c>
      <c r="F8" s="148"/>
      <c r="G8" s="147">
        <v>190</v>
      </c>
      <c r="H8" s="148"/>
      <c r="I8" s="147">
        <v>240</v>
      </c>
      <c r="J8" s="148"/>
      <c r="K8" s="147">
        <v>275</v>
      </c>
      <c r="L8" s="148"/>
      <c r="M8" s="147">
        <v>300</v>
      </c>
      <c r="N8" s="148"/>
      <c r="O8" s="147"/>
      <c r="P8" s="148"/>
      <c r="R8" t="s">
        <v>24</v>
      </c>
      <c r="S8" s="9" t="e">
        <f>LOOKUP(S4,A5:B13,B5:B13)*2</f>
        <v>#N/A</v>
      </c>
    </row>
    <row r="9" spans="1:25" x14ac:dyDescent="0.45">
      <c r="A9" s="6">
        <v>40</v>
      </c>
      <c r="B9" s="7">
        <v>1500</v>
      </c>
      <c r="C9" s="147">
        <v>5</v>
      </c>
      <c r="D9" s="148"/>
      <c r="E9" s="147">
        <v>150</v>
      </c>
      <c r="F9" s="148"/>
      <c r="G9" s="147">
        <v>190</v>
      </c>
      <c r="H9" s="148"/>
      <c r="I9" s="147">
        <v>240</v>
      </c>
      <c r="J9" s="148"/>
      <c r="K9" s="147">
        <v>275</v>
      </c>
      <c r="L9" s="148"/>
      <c r="M9" s="147">
        <v>300</v>
      </c>
      <c r="N9" s="148"/>
      <c r="O9" s="147"/>
      <c r="P9" s="148"/>
      <c r="R9" t="s">
        <v>25</v>
      </c>
      <c r="S9" s="9">
        <f>IF(S4&lt;&gt;"臨時用",SUM(T9:Y9),T10)</f>
        <v>0</v>
      </c>
      <c r="T9" s="14">
        <f>IF(S6&lt;E4,C5*S6,C5*D4)</f>
        <v>0</v>
      </c>
      <c r="U9" s="14">
        <f>IF($S$6&lt;E4,0,IF($S$6&lt;G4,E5*($S$6-D4),E5*(F4-D4)))</f>
        <v>0</v>
      </c>
      <c r="V9" s="14">
        <f>IF(S6&lt;G4,0,IF(S6&lt;I4,G5*(S6-F4),G5*(H4-F4)))</f>
        <v>0</v>
      </c>
      <c r="W9" s="14">
        <f>IF(S6&lt;I4,0,IF(S6&lt;K4,I5*(S6-H4),I5*(J4-H4)))</f>
        <v>0</v>
      </c>
      <c r="X9" s="14">
        <f>IF(S6&lt;K4,0,IF(S6&lt;M4,K5*(S6-J4),K5*(L4-J4)))</f>
        <v>0</v>
      </c>
      <c r="Y9" s="14">
        <f>IF(L4&lt;S6,M5*(S6-L4),0)</f>
        <v>0</v>
      </c>
    </row>
    <row r="10" spans="1:25" ht="18.600000000000001" thickBot="1" x14ac:dyDescent="0.5">
      <c r="A10" s="6">
        <v>50</v>
      </c>
      <c r="B10" s="7">
        <v>3000</v>
      </c>
      <c r="C10" s="147">
        <v>5</v>
      </c>
      <c r="D10" s="148"/>
      <c r="E10" s="147">
        <v>150</v>
      </c>
      <c r="F10" s="148"/>
      <c r="G10" s="147">
        <v>190</v>
      </c>
      <c r="H10" s="148"/>
      <c r="I10" s="147">
        <v>240</v>
      </c>
      <c r="J10" s="148"/>
      <c r="K10" s="147">
        <v>275</v>
      </c>
      <c r="L10" s="148"/>
      <c r="M10" s="147">
        <v>300</v>
      </c>
      <c r="N10" s="148"/>
      <c r="O10" s="147"/>
      <c r="P10" s="148"/>
      <c r="R10" t="s">
        <v>27</v>
      </c>
      <c r="S10" s="10" t="e">
        <f>SUM(S8:S9)*0.1</f>
        <v>#N/A</v>
      </c>
      <c r="T10" s="14">
        <f>IF(S4="臨時用",S6*C14,0)</f>
        <v>0</v>
      </c>
    </row>
    <row r="11" spans="1:25" ht="18.600000000000001" thickBot="1" x14ac:dyDescent="0.5">
      <c r="A11" s="6">
        <v>75</v>
      </c>
      <c r="B11" s="7">
        <v>8000</v>
      </c>
      <c r="C11" s="147">
        <v>5</v>
      </c>
      <c r="D11" s="148"/>
      <c r="E11" s="147">
        <v>150</v>
      </c>
      <c r="F11" s="148"/>
      <c r="G11" s="147">
        <v>190</v>
      </c>
      <c r="H11" s="148"/>
      <c r="I11" s="147">
        <v>240</v>
      </c>
      <c r="J11" s="148"/>
      <c r="K11" s="147">
        <v>275</v>
      </c>
      <c r="L11" s="148"/>
      <c r="M11" s="147">
        <v>300</v>
      </c>
      <c r="N11" s="148"/>
      <c r="O11" s="147"/>
      <c r="P11" s="148"/>
      <c r="R11" t="s">
        <v>26</v>
      </c>
      <c r="S11" s="11" t="e">
        <f>SUM(S8:S10)</f>
        <v>#N/A</v>
      </c>
    </row>
    <row r="12" spans="1:25" x14ac:dyDescent="0.45">
      <c r="A12" s="6">
        <v>100</v>
      </c>
      <c r="B12" s="7">
        <v>15000</v>
      </c>
      <c r="C12" s="147">
        <v>5</v>
      </c>
      <c r="D12" s="148"/>
      <c r="E12" s="147">
        <v>150</v>
      </c>
      <c r="F12" s="148"/>
      <c r="G12" s="147">
        <v>190</v>
      </c>
      <c r="H12" s="148"/>
      <c r="I12" s="147">
        <v>240</v>
      </c>
      <c r="J12" s="148"/>
      <c r="K12" s="147">
        <v>275</v>
      </c>
      <c r="L12" s="148"/>
      <c r="M12" s="147">
        <v>300</v>
      </c>
      <c r="N12" s="148"/>
      <c r="O12" s="147"/>
      <c r="P12" s="148"/>
    </row>
    <row r="13" spans="1:25" x14ac:dyDescent="0.45">
      <c r="A13" s="6">
        <v>150</v>
      </c>
      <c r="B13" s="7">
        <v>30000</v>
      </c>
      <c r="C13" s="147">
        <v>5</v>
      </c>
      <c r="D13" s="148"/>
      <c r="E13" s="147">
        <v>150</v>
      </c>
      <c r="F13" s="148"/>
      <c r="G13" s="147">
        <v>190</v>
      </c>
      <c r="H13" s="148"/>
      <c r="I13" s="147">
        <v>240</v>
      </c>
      <c r="J13" s="148"/>
      <c r="K13" s="147">
        <v>275</v>
      </c>
      <c r="L13" s="148"/>
      <c r="M13" s="147">
        <v>300</v>
      </c>
      <c r="N13" s="148"/>
      <c r="O13" s="147"/>
      <c r="P13" s="148"/>
    </row>
    <row r="14" spans="1:25" x14ac:dyDescent="0.45">
      <c r="A14" s="3" t="s">
        <v>23</v>
      </c>
      <c r="B14" s="7">
        <v>4000</v>
      </c>
      <c r="C14" s="147">
        <v>400</v>
      </c>
      <c r="D14" s="149"/>
      <c r="E14" s="149"/>
      <c r="F14" s="149"/>
      <c r="G14" s="149"/>
      <c r="H14" s="149"/>
      <c r="I14" s="149"/>
      <c r="J14" s="149"/>
      <c r="K14" s="149"/>
      <c r="L14" s="149"/>
      <c r="M14" s="149"/>
      <c r="N14" s="149"/>
      <c r="O14" s="149"/>
      <c r="P14" s="148"/>
      <c r="R14" s="32"/>
    </row>
    <row r="15" spans="1:25" x14ac:dyDescent="0.45">
      <c r="A15" s="3" t="s">
        <v>21</v>
      </c>
      <c r="B15" s="7"/>
      <c r="C15" s="147"/>
      <c r="D15" s="148"/>
      <c r="E15" s="147"/>
      <c r="F15" s="148"/>
      <c r="G15" s="147"/>
      <c r="H15" s="148"/>
      <c r="I15" s="147"/>
      <c r="J15" s="148"/>
      <c r="K15" s="147"/>
      <c r="L15" s="148"/>
      <c r="M15" s="147"/>
      <c r="N15" s="148"/>
      <c r="O15" s="147"/>
      <c r="P15" s="148"/>
    </row>
    <row r="16" spans="1:25" x14ac:dyDescent="0.45">
      <c r="A16" s="3" t="s">
        <v>22</v>
      </c>
      <c r="B16" s="7"/>
      <c r="C16" s="147"/>
      <c r="D16" s="148"/>
      <c r="E16" s="147"/>
      <c r="F16" s="148"/>
      <c r="G16" s="147"/>
      <c r="H16" s="148"/>
      <c r="I16" s="147"/>
      <c r="J16" s="148"/>
      <c r="K16" s="147"/>
      <c r="L16" s="148"/>
      <c r="M16" s="147"/>
      <c r="N16" s="148"/>
      <c r="O16" s="147"/>
      <c r="P16" s="148"/>
    </row>
    <row r="19" spans="1:3" x14ac:dyDescent="0.45">
      <c r="A19" s="8"/>
      <c r="C19" s="1"/>
    </row>
    <row r="20" spans="1:3" x14ac:dyDescent="0.45">
      <c r="A20" s="8"/>
      <c r="C20" s="1"/>
    </row>
    <row r="21" spans="1:3" x14ac:dyDescent="0.45">
      <c r="A21" s="8"/>
      <c r="C21" s="1"/>
    </row>
    <row r="22" spans="1:3" x14ac:dyDescent="0.45">
      <c r="A22" s="8"/>
      <c r="C22" s="1"/>
    </row>
    <row r="23" spans="1:3" x14ac:dyDescent="0.45">
      <c r="A23" s="8"/>
      <c r="C23" s="1"/>
    </row>
    <row r="24" spans="1:3" x14ac:dyDescent="0.45">
      <c r="A24" s="8"/>
      <c r="C24" s="1"/>
    </row>
    <row r="25" spans="1:3" x14ac:dyDescent="0.45">
      <c r="A25" s="8"/>
      <c r="C25" s="1"/>
    </row>
    <row r="26" spans="1:3" x14ac:dyDescent="0.45">
      <c r="A26" s="8"/>
      <c r="C26" s="1"/>
    </row>
    <row r="27" spans="1:3" x14ac:dyDescent="0.45">
      <c r="A27" s="8"/>
      <c r="C27" s="1"/>
    </row>
  </sheetData>
  <mergeCells count="81">
    <mergeCell ref="M15:N15"/>
    <mergeCell ref="O15:P15"/>
    <mergeCell ref="C14:P14"/>
    <mergeCell ref="O16:P16"/>
    <mergeCell ref="C16:D16"/>
    <mergeCell ref="E16:F16"/>
    <mergeCell ref="G16:H16"/>
    <mergeCell ref="I16:J16"/>
    <mergeCell ref="K16:L16"/>
    <mergeCell ref="M16:N16"/>
    <mergeCell ref="C15:D15"/>
    <mergeCell ref="E15:F15"/>
    <mergeCell ref="G15:H15"/>
    <mergeCell ref="I15:J15"/>
    <mergeCell ref="K15:L15"/>
    <mergeCell ref="O12:P12"/>
    <mergeCell ref="C13:D13"/>
    <mergeCell ref="E13:F13"/>
    <mergeCell ref="G13:H13"/>
    <mergeCell ref="I13:J13"/>
    <mergeCell ref="K13:L13"/>
    <mergeCell ref="M13:N13"/>
    <mergeCell ref="O13:P13"/>
    <mergeCell ref="C12:D12"/>
    <mergeCell ref="E12:F12"/>
    <mergeCell ref="G12:H12"/>
    <mergeCell ref="I12:J12"/>
    <mergeCell ref="K12:L12"/>
    <mergeCell ref="M12:N12"/>
    <mergeCell ref="O10:P10"/>
    <mergeCell ref="C11:D11"/>
    <mergeCell ref="E11:F11"/>
    <mergeCell ref="G11:H11"/>
    <mergeCell ref="I11:J11"/>
    <mergeCell ref="K11:L11"/>
    <mergeCell ref="M11:N11"/>
    <mergeCell ref="O11:P11"/>
    <mergeCell ref="C10:D10"/>
    <mergeCell ref="E10:F10"/>
    <mergeCell ref="G10:H10"/>
    <mergeCell ref="I10:J10"/>
    <mergeCell ref="K10:L10"/>
    <mergeCell ref="M10:N10"/>
    <mergeCell ref="O8:P8"/>
    <mergeCell ref="C9:D9"/>
    <mergeCell ref="E9:F9"/>
    <mergeCell ref="G9:H9"/>
    <mergeCell ref="I9:J9"/>
    <mergeCell ref="K9:L9"/>
    <mergeCell ref="M9:N9"/>
    <mergeCell ref="O9:P9"/>
    <mergeCell ref="C8:D8"/>
    <mergeCell ref="E8:F8"/>
    <mergeCell ref="G8:H8"/>
    <mergeCell ref="I8:J8"/>
    <mergeCell ref="K8:L8"/>
    <mergeCell ref="M8:N8"/>
    <mergeCell ref="O6:P6"/>
    <mergeCell ref="C7:D7"/>
    <mergeCell ref="E7:F7"/>
    <mergeCell ref="G7:H7"/>
    <mergeCell ref="I7:J7"/>
    <mergeCell ref="K7:L7"/>
    <mergeCell ref="M7:N7"/>
    <mergeCell ref="O7:P7"/>
    <mergeCell ref="C6:D6"/>
    <mergeCell ref="E6:F6"/>
    <mergeCell ref="G6:H6"/>
    <mergeCell ref="I6:J6"/>
    <mergeCell ref="K6:L6"/>
    <mergeCell ref="M6:N6"/>
    <mergeCell ref="A2:A4"/>
    <mergeCell ref="B2:B4"/>
    <mergeCell ref="C2:P2"/>
    <mergeCell ref="C5:D5"/>
    <mergeCell ref="E5:F5"/>
    <mergeCell ref="G5:H5"/>
    <mergeCell ref="I5:J5"/>
    <mergeCell ref="K5:L5"/>
    <mergeCell ref="M5:N5"/>
    <mergeCell ref="O5:P5"/>
  </mergeCells>
  <phoneticPr fontId="1"/>
  <dataValidations count="1">
    <dataValidation type="list" allowBlank="1" showInputMessage="1" showErrorMessage="1" sqref="S4">
      <formula1>$A$5:$A$13</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27"/>
  <sheetViews>
    <sheetView workbookViewId="0">
      <selection activeCell="P21" sqref="P21"/>
    </sheetView>
  </sheetViews>
  <sheetFormatPr defaultRowHeight="18" x14ac:dyDescent="0.45"/>
  <cols>
    <col min="1" max="1" width="10.19921875" customWidth="1"/>
    <col min="3" max="3" width="5.19921875" bestFit="1" customWidth="1"/>
    <col min="4" max="11" width="5.3984375" bestFit="1" customWidth="1"/>
    <col min="12" max="13" width="6.3984375" bestFit="1" customWidth="1"/>
    <col min="14" max="16" width="5.19921875" bestFit="1" customWidth="1"/>
    <col min="18" max="18" width="12.69921875" customWidth="1"/>
    <col min="19" max="19" width="9.8984375" bestFit="1" customWidth="1"/>
  </cols>
  <sheetData>
    <row r="1" spans="1:25" x14ac:dyDescent="0.45">
      <c r="A1" s="1" t="s">
        <v>0</v>
      </c>
      <c r="B1" s="1"/>
      <c r="C1" s="1"/>
      <c r="D1" s="1"/>
      <c r="E1" s="1"/>
      <c r="F1" s="1"/>
      <c r="G1" s="1"/>
      <c r="H1" s="1"/>
      <c r="I1" s="1"/>
      <c r="J1" s="1"/>
      <c r="K1" s="1"/>
      <c r="L1" s="1"/>
      <c r="M1" s="1"/>
      <c r="N1" s="1"/>
      <c r="O1" s="1"/>
      <c r="P1" s="1"/>
      <c r="R1" t="s">
        <v>1</v>
      </c>
    </row>
    <row r="2" spans="1:25" x14ac:dyDescent="0.45">
      <c r="A2" s="150" t="s">
        <v>2</v>
      </c>
      <c r="B2" s="151" t="s">
        <v>3</v>
      </c>
      <c r="C2" s="151" t="s">
        <v>4</v>
      </c>
      <c r="D2" s="151"/>
      <c r="E2" s="151"/>
      <c r="F2" s="151"/>
      <c r="G2" s="151"/>
      <c r="H2" s="151"/>
      <c r="I2" s="151"/>
      <c r="J2" s="151"/>
      <c r="K2" s="151"/>
      <c r="L2" s="151"/>
      <c r="M2" s="151"/>
      <c r="N2" s="151"/>
      <c r="O2" s="151"/>
      <c r="P2" s="151"/>
      <c r="R2" s="2" t="s">
        <v>28</v>
      </c>
    </row>
    <row r="3" spans="1:25" ht="18.600000000000001" thickBot="1" x14ac:dyDescent="0.5">
      <c r="A3" s="151"/>
      <c r="B3" s="151"/>
      <c r="C3" s="3" t="s">
        <v>5</v>
      </c>
      <c r="D3" s="3" t="s">
        <v>6</v>
      </c>
      <c r="E3" s="3" t="s">
        <v>7</v>
      </c>
      <c r="F3" s="3" t="s">
        <v>8</v>
      </c>
      <c r="G3" s="3" t="s">
        <v>9</v>
      </c>
      <c r="H3" s="3" t="s">
        <v>10</v>
      </c>
      <c r="I3" s="3" t="s">
        <v>11</v>
      </c>
      <c r="J3" s="3" t="s">
        <v>12</v>
      </c>
      <c r="K3" s="3" t="s">
        <v>13</v>
      </c>
      <c r="L3" s="3" t="s">
        <v>14</v>
      </c>
      <c r="M3" s="3" t="s">
        <v>15</v>
      </c>
      <c r="N3" s="3" t="s">
        <v>16</v>
      </c>
      <c r="O3" s="3" t="s">
        <v>17</v>
      </c>
      <c r="P3" s="3" t="s">
        <v>18</v>
      </c>
    </row>
    <row r="4" spans="1:25" ht="18.600000000000001" thickBot="1" x14ac:dyDescent="0.5">
      <c r="A4" s="151"/>
      <c r="B4" s="151"/>
      <c r="C4" s="4">
        <v>1</v>
      </c>
      <c r="D4" s="5">
        <v>10</v>
      </c>
      <c r="E4" s="4">
        <v>11</v>
      </c>
      <c r="F4" s="5">
        <v>20</v>
      </c>
      <c r="G4" s="4">
        <v>21</v>
      </c>
      <c r="H4" s="5">
        <v>30</v>
      </c>
      <c r="I4" s="4">
        <v>31</v>
      </c>
      <c r="J4" s="5">
        <v>40</v>
      </c>
      <c r="K4" s="4">
        <v>41</v>
      </c>
      <c r="L4" s="5">
        <v>50</v>
      </c>
      <c r="M4" s="4">
        <v>51</v>
      </c>
      <c r="N4" s="5"/>
      <c r="O4" s="4"/>
      <c r="P4" s="5"/>
      <c r="R4" t="s">
        <v>19</v>
      </c>
      <c r="S4" s="12">
        <f>料金比較!B6</f>
        <v>0</v>
      </c>
    </row>
    <row r="5" spans="1:25" ht="18.600000000000001" thickBot="1" x14ac:dyDescent="0.5">
      <c r="A5" s="6">
        <v>13</v>
      </c>
      <c r="B5" s="7">
        <v>780</v>
      </c>
      <c r="C5" s="147">
        <v>5</v>
      </c>
      <c r="D5" s="148"/>
      <c r="E5" s="147">
        <v>150</v>
      </c>
      <c r="F5" s="148"/>
      <c r="G5" s="147">
        <v>190</v>
      </c>
      <c r="H5" s="148"/>
      <c r="I5" s="147">
        <v>240</v>
      </c>
      <c r="J5" s="148"/>
      <c r="K5" s="147">
        <v>275</v>
      </c>
      <c r="L5" s="148"/>
      <c r="M5" s="147">
        <v>300</v>
      </c>
      <c r="N5" s="148"/>
      <c r="O5" s="147"/>
      <c r="P5" s="148"/>
    </row>
    <row r="6" spans="1:25" ht="18.600000000000001" thickBot="1" x14ac:dyDescent="0.5">
      <c r="A6" s="6">
        <v>20</v>
      </c>
      <c r="B6" s="7">
        <v>780</v>
      </c>
      <c r="C6" s="147">
        <v>5</v>
      </c>
      <c r="D6" s="148"/>
      <c r="E6" s="147">
        <v>150</v>
      </c>
      <c r="F6" s="148"/>
      <c r="G6" s="147">
        <v>190</v>
      </c>
      <c r="H6" s="148"/>
      <c r="I6" s="147">
        <v>240</v>
      </c>
      <c r="J6" s="148"/>
      <c r="K6" s="147">
        <v>275</v>
      </c>
      <c r="L6" s="148"/>
      <c r="M6" s="147">
        <v>300</v>
      </c>
      <c r="N6" s="148"/>
      <c r="O6" s="147"/>
      <c r="P6" s="148"/>
      <c r="R6" t="s">
        <v>20</v>
      </c>
      <c r="S6" s="13">
        <f>料金比較!E6</f>
        <v>0</v>
      </c>
    </row>
    <row r="7" spans="1:25" x14ac:dyDescent="0.45">
      <c r="A7" s="6">
        <v>25</v>
      </c>
      <c r="B7" s="7">
        <v>850</v>
      </c>
      <c r="C7" s="147">
        <v>5</v>
      </c>
      <c r="D7" s="148"/>
      <c r="E7" s="147">
        <v>150</v>
      </c>
      <c r="F7" s="148"/>
      <c r="G7" s="147">
        <v>190</v>
      </c>
      <c r="H7" s="148"/>
      <c r="I7" s="147">
        <v>240</v>
      </c>
      <c r="J7" s="148"/>
      <c r="K7" s="147">
        <v>275</v>
      </c>
      <c r="L7" s="148"/>
      <c r="M7" s="147">
        <v>300</v>
      </c>
      <c r="N7" s="148"/>
      <c r="O7" s="147"/>
      <c r="P7" s="148"/>
    </row>
    <row r="8" spans="1:25" x14ac:dyDescent="0.45">
      <c r="A8" s="6">
        <v>30</v>
      </c>
      <c r="B8" s="7">
        <v>1000</v>
      </c>
      <c r="C8" s="147">
        <v>5</v>
      </c>
      <c r="D8" s="148"/>
      <c r="E8" s="147">
        <v>150</v>
      </c>
      <c r="F8" s="148"/>
      <c r="G8" s="147">
        <v>190</v>
      </c>
      <c r="H8" s="148"/>
      <c r="I8" s="147">
        <v>240</v>
      </c>
      <c r="J8" s="148"/>
      <c r="K8" s="147">
        <v>275</v>
      </c>
      <c r="L8" s="148"/>
      <c r="M8" s="147">
        <v>300</v>
      </c>
      <c r="N8" s="148"/>
      <c r="O8" s="147"/>
      <c r="P8" s="148"/>
      <c r="R8" t="s">
        <v>24</v>
      </c>
      <c r="S8" s="9" t="e">
        <f>LOOKUP(S4,A5:B14,B5:B14)</f>
        <v>#N/A</v>
      </c>
    </row>
    <row r="9" spans="1:25" x14ac:dyDescent="0.45">
      <c r="A9" s="6">
        <v>40</v>
      </c>
      <c r="B9" s="7">
        <v>1500</v>
      </c>
      <c r="C9" s="147">
        <v>5</v>
      </c>
      <c r="D9" s="148"/>
      <c r="E9" s="147">
        <v>150</v>
      </c>
      <c r="F9" s="148"/>
      <c r="G9" s="147">
        <v>190</v>
      </c>
      <c r="H9" s="148"/>
      <c r="I9" s="147">
        <v>240</v>
      </c>
      <c r="J9" s="148"/>
      <c r="K9" s="147">
        <v>275</v>
      </c>
      <c r="L9" s="148"/>
      <c r="M9" s="147">
        <v>300</v>
      </c>
      <c r="N9" s="148"/>
      <c r="O9" s="147"/>
      <c r="P9" s="148"/>
      <c r="R9" t="s">
        <v>25</v>
      </c>
      <c r="S9" s="9">
        <f>IF(S4&lt;&gt;"臨時用",SUM(T9:Y9),T10)</f>
        <v>0</v>
      </c>
      <c r="T9" s="31">
        <f>IF(S6&lt;E4,C5*S6,C5*D4)</f>
        <v>0</v>
      </c>
      <c r="U9" s="31">
        <f>IF($S$6&lt;E4,0,IF($S$6&lt;G4,E5*($S$6-D4),E5*(F4-D4)))</f>
        <v>0</v>
      </c>
      <c r="V9" s="31">
        <f>IF(S6&lt;G4,0,IF(S6&lt;I4,G5*(S6-F4),G5*(H4-F4)))</f>
        <v>0</v>
      </c>
      <c r="W9" s="31">
        <f>IF(S6&lt;I4,0,IF(S6&lt;K4,I5*(S6-H4),I5*(J4-H4)))</f>
        <v>0</v>
      </c>
      <c r="X9" s="31">
        <f>IF(S6&lt;K4,0,IF(S6&lt;M4,K5*(S6-J4),K5*(L4-J4)))</f>
        <v>0</v>
      </c>
      <c r="Y9" s="31">
        <f>IF(L4&lt;S6,M5*(S6-L4),0)</f>
        <v>0</v>
      </c>
    </row>
    <row r="10" spans="1:25" ht="18.600000000000001" thickBot="1" x14ac:dyDescent="0.5">
      <c r="A10" s="6">
        <v>50</v>
      </c>
      <c r="B10" s="7">
        <v>3000</v>
      </c>
      <c r="C10" s="147">
        <v>5</v>
      </c>
      <c r="D10" s="148"/>
      <c r="E10" s="147">
        <v>150</v>
      </c>
      <c r="F10" s="148"/>
      <c r="G10" s="147">
        <v>190</v>
      </c>
      <c r="H10" s="148"/>
      <c r="I10" s="147">
        <v>240</v>
      </c>
      <c r="J10" s="148"/>
      <c r="K10" s="147">
        <v>275</v>
      </c>
      <c r="L10" s="148"/>
      <c r="M10" s="147">
        <v>300</v>
      </c>
      <c r="N10" s="148"/>
      <c r="O10" s="147"/>
      <c r="P10" s="148"/>
      <c r="R10" t="s">
        <v>27</v>
      </c>
      <c r="S10" s="10" t="e">
        <f>SUM(S8:S9)*0.1</f>
        <v>#N/A</v>
      </c>
      <c r="T10">
        <f>IF(S4="臨時用",S6*C14,0)</f>
        <v>0</v>
      </c>
    </row>
    <row r="11" spans="1:25" ht="18.600000000000001" thickBot="1" x14ac:dyDescent="0.5">
      <c r="A11" s="6">
        <v>75</v>
      </c>
      <c r="B11" s="7">
        <v>8000</v>
      </c>
      <c r="C11" s="147">
        <v>5</v>
      </c>
      <c r="D11" s="148"/>
      <c r="E11" s="147">
        <v>150</v>
      </c>
      <c r="F11" s="148"/>
      <c r="G11" s="147">
        <v>190</v>
      </c>
      <c r="H11" s="148"/>
      <c r="I11" s="147">
        <v>240</v>
      </c>
      <c r="J11" s="148"/>
      <c r="K11" s="147">
        <v>275</v>
      </c>
      <c r="L11" s="148"/>
      <c r="M11" s="147">
        <v>300</v>
      </c>
      <c r="N11" s="148"/>
      <c r="O11" s="147"/>
      <c r="P11" s="148"/>
      <c r="R11" t="s">
        <v>26</v>
      </c>
      <c r="S11" s="11" t="e">
        <f>SUM(S8:S10)</f>
        <v>#N/A</v>
      </c>
    </row>
    <row r="12" spans="1:25" x14ac:dyDescent="0.45">
      <c r="A12" s="6">
        <v>100</v>
      </c>
      <c r="B12" s="7">
        <v>15000</v>
      </c>
      <c r="C12" s="147">
        <v>5</v>
      </c>
      <c r="D12" s="148"/>
      <c r="E12" s="147">
        <v>150</v>
      </c>
      <c r="F12" s="148"/>
      <c r="G12" s="147">
        <v>190</v>
      </c>
      <c r="H12" s="148"/>
      <c r="I12" s="147">
        <v>240</v>
      </c>
      <c r="J12" s="148"/>
      <c r="K12" s="147">
        <v>275</v>
      </c>
      <c r="L12" s="148"/>
      <c r="M12" s="147">
        <v>300</v>
      </c>
      <c r="N12" s="148"/>
      <c r="O12" s="147"/>
      <c r="P12" s="148"/>
    </row>
    <row r="13" spans="1:25" x14ac:dyDescent="0.45">
      <c r="A13" s="6">
        <v>150</v>
      </c>
      <c r="B13" s="7">
        <v>30000</v>
      </c>
      <c r="C13" s="147">
        <v>5</v>
      </c>
      <c r="D13" s="148"/>
      <c r="E13" s="147">
        <v>150</v>
      </c>
      <c r="F13" s="148"/>
      <c r="G13" s="147">
        <v>190</v>
      </c>
      <c r="H13" s="148"/>
      <c r="I13" s="147">
        <v>240</v>
      </c>
      <c r="J13" s="148"/>
      <c r="K13" s="147">
        <v>275</v>
      </c>
      <c r="L13" s="148"/>
      <c r="M13" s="147">
        <v>300</v>
      </c>
      <c r="N13" s="148"/>
      <c r="O13" s="147"/>
      <c r="P13" s="148"/>
    </row>
    <row r="14" spans="1:25" x14ac:dyDescent="0.45">
      <c r="A14" s="3" t="s">
        <v>23</v>
      </c>
      <c r="B14" s="7">
        <v>4000</v>
      </c>
      <c r="C14" s="147">
        <v>400</v>
      </c>
      <c r="D14" s="149"/>
      <c r="E14" s="149"/>
      <c r="F14" s="149"/>
      <c r="G14" s="149"/>
      <c r="H14" s="149"/>
      <c r="I14" s="149"/>
      <c r="J14" s="149"/>
      <c r="K14" s="149"/>
      <c r="L14" s="149"/>
      <c r="M14" s="149"/>
      <c r="N14" s="149"/>
      <c r="O14" s="149"/>
      <c r="P14" s="148"/>
    </row>
    <row r="15" spans="1:25" x14ac:dyDescent="0.45">
      <c r="A15" s="3" t="s">
        <v>21</v>
      </c>
      <c r="B15" s="7"/>
      <c r="C15" s="147"/>
      <c r="D15" s="148"/>
      <c r="E15" s="147"/>
      <c r="F15" s="148"/>
      <c r="G15" s="147"/>
      <c r="H15" s="148"/>
      <c r="I15" s="147"/>
      <c r="J15" s="148"/>
      <c r="K15" s="147"/>
      <c r="L15" s="148"/>
      <c r="M15" s="147"/>
      <c r="N15" s="148"/>
      <c r="O15" s="147"/>
      <c r="P15" s="148"/>
    </row>
    <row r="16" spans="1:25" x14ac:dyDescent="0.45">
      <c r="A16" s="3" t="s">
        <v>22</v>
      </c>
      <c r="B16" s="7"/>
      <c r="C16" s="147"/>
      <c r="D16" s="148"/>
      <c r="E16" s="147"/>
      <c r="F16" s="148"/>
      <c r="G16" s="147"/>
      <c r="H16" s="148"/>
      <c r="I16" s="147"/>
      <c r="J16" s="148"/>
      <c r="K16" s="147"/>
      <c r="L16" s="148"/>
      <c r="M16" s="147"/>
      <c r="N16" s="148"/>
      <c r="O16" s="147"/>
      <c r="P16" s="148"/>
    </row>
    <row r="19" spans="1:3" x14ac:dyDescent="0.45">
      <c r="A19" s="8"/>
      <c r="C19" s="1"/>
    </row>
    <row r="20" spans="1:3" x14ac:dyDescent="0.45">
      <c r="A20" s="8"/>
      <c r="C20" s="1"/>
    </row>
    <row r="21" spans="1:3" x14ac:dyDescent="0.45">
      <c r="A21" s="8"/>
      <c r="C21" s="1"/>
    </row>
    <row r="22" spans="1:3" x14ac:dyDescent="0.45">
      <c r="A22" s="8"/>
      <c r="C22" s="1"/>
    </row>
    <row r="23" spans="1:3" x14ac:dyDescent="0.45">
      <c r="A23" s="8"/>
      <c r="C23" s="1"/>
    </row>
    <row r="24" spans="1:3" x14ac:dyDescent="0.45">
      <c r="A24" s="8"/>
      <c r="C24" s="1"/>
    </row>
    <row r="25" spans="1:3" x14ac:dyDescent="0.45">
      <c r="A25" s="8"/>
      <c r="C25" s="1"/>
    </row>
    <row r="26" spans="1:3" x14ac:dyDescent="0.45">
      <c r="A26" s="8"/>
      <c r="C26" s="1"/>
    </row>
    <row r="27" spans="1:3" x14ac:dyDescent="0.45">
      <c r="A27" s="8"/>
      <c r="C27" s="1"/>
    </row>
  </sheetData>
  <mergeCells count="81">
    <mergeCell ref="A2:A4"/>
    <mergeCell ref="B2:B4"/>
    <mergeCell ref="C2:P2"/>
    <mergeCell ref="C5:D5"/>
    <mergeCell ref="E5:F5"/>
    <mergeCell ref="G5:H5"/>
    <mergeCell ref="I5:J5"/>
    <mergeCell ref="K5:L5"/>
    <mergeCell ref="M5:N5"/>
    <mergeCell ref="O5:P5"/>
    <mergeCell ref="O6:P6"/>
    <mergeCell ref="C7:D7"/>
    <mergeCell ref="E7:F7"/>
    <mergeCell ref="G7:H7"/>
    <mergeCell ref="I7:J7"/>
    <mergeCell ref="K7:L7"/>
    <mergeCell ref="M7:N7"/>
    <mergeCell ref="O7:P7"/>
    <mergeCell ref="C6:D6"/>
    <mergeCell ref="E6:F6"/>
    <mergeCell ref="G6:H6"/>
    <mergeCell ref="I6:J6"/>
    <mergeCell ref="K6:L6"/>
    <mergeCell ref="M6:N6"/>
    <mergeCell ref="O8:P8"/>
    <mergeCell ref="C9:D9"/>
    <mergeCell ref="E9:F9"/>
    <mergeCell ref="G9:H9"/>
    <mergeCell ref="I9:J9"/>
    <mergeCell ref="K9:L9"/>
    <mergeCell ref="M9:N9"/>
    <mergeCell ref="O9:P9"/>
    <mergeCell ref="C8:D8"/>
    <mergeCell ref="E8:F8"/>
    <mergeCell ref="G8:H8"/>
    <mergeCell ref="I8:J8"/>
    <mergeCell ref="K8:L8"/>
    <mergeCell ref="M8:N8"/>
    <mergeCell ref="O10:P10"/>
    <mergeCell ref="C11:D11"/>
    <mergeCell ref="E11:F11"/>
    <mergeCell ref="G11:H11"/>
    <mergeCell ref="I11:J11"/>
    <mergeCell ref="K11:L11"/>
    <mergeCell ref="M11:N11"/>
    <mergeCell ref="O11:P11"/>
    <mergeCell ref="C10:D10"/>
    <mergeCell ref="E10:F10"/>
    <mergeCell ref="G10:H10"/>
    <mergeCell ref="I10:J10"/>
    <mergeCell ref="K10:L10"/>
    <mergeCell ref="M10:N10"/>
    <mergeCell ref="O12:P12"/>
    <mergeCell ref="C13:D13"/>
    <mergeCell ref="E13:F13"/>
    <mergeCell ref="G13:H13"/>
    <mergeCell ref="I13:J13"/>
    <mergeCell ref="K13:L13"/>
    <mergeCell ref="M13:N13"/>
    <mergeCell ref="O13:P13"/>
    <mergeCell ref="C12:D12"/>
    <mergeCell ref="E12:F12"/>
    <mergeCell ref="G12:H12"/>
    <mergeCell ref="I12:J12"/>
    <mergeCell ref="K12:L12"/>
    <mergeCell ref="M12:N12"/>
    <mergeCell ref="C14:P14"/>
    <mergeCell ref="C15:D15"/>
    <mergeCell ref="E15:F15"/>
    <mergeCell ref="G15:H15"/>
    <mergeCell ref="I15:J15"/>
    <mergeCell ref="K15:L15"/>
    <mergeCell ref="M15:N15"/>
    <mergeCell ref="O15:P15"/>
    <mergeCell ref="O16:P16"/>
    <mergeCell ref="C16:D16"/>
    <mergeCell ref="E16:F16"/>
    <mergeCell ref="G16:H16"/>
    <mergeCell ref="I16:J16"/>
    <mergeCell ref="K16:L16"/>
    <mergeCell ref="M16:N16"/>
  </mergeCells>
  <phoneticPr fontId="1"/>
  <dataValidations count="1">
    <dataValidation type="list" allowBlank="1" showInputMessage="1" showErrorMessage="1" sqref="S4">
      <formula1>$A$5:$A$13</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3"/>
  <sheetViews>
    <sheetView workbookViewId="0">
      <selection activeCell="B11" sqref="B11"/>
    </sheetView>
  </sheetViews>
  <sheetFormatPr defaultRowHeight="18" x14ac:dyDescent="0.45"/>
  <cols>
    <col min="2" max="2" width="12.09765625" bestFit="1" customWidth="1"/>
  </cols>
  <sheetData>
    <row r="1" spans="1:9" ht="22.8" thickBot="1" x14ac:dyDescent="0.5">
      <c r="A1" s="18" t="s">
        <v>30</v>
      </c>
      <c r="C1" s="19" t="s">
        <v>31</v>
      </c>
      <c r="D1" s="20">
        <f>料金比較!E6</f>
        <v>0</v>
      </c>
    </row>
    <row r="3" spans="1:9" ht="36" x14ac:dyDescent="0.45">
      <c r="A3" s="21" t="s">
        <v>32</v>
      </c>
      <c r="B3" s="16" t="s">
        <v>33</v>
      </c>
      <c r="C3" s="17" t="s">
        <v>34</v>
      </c>
      <c r="D3" s="17" t="s">
        <v>35</v>
      </c>
      <c r="E3" s="17" t="s">
        <v>36</v>
      </c>
      <c r="F3" s="17" t="s">
        <v>37</v>
      </c>
      <c r="G3" s="17" t="s">
        <v>38</v>
      </c>
      <c r="H3" s="16" t="s">
        <v>39</v>
      </c>
    </row>
    <row r="4" spans="1:9" x14ac:dyDescent="0.45">
      <c r="A4" s="152" t="s">
        <v>40</v>
      </c>
      <c r="B4" s="22">
        <v>700</v>
      </c>
      <c r="C4" s="22">
        <v>700</v>
      </c>
      <c r="D4" s="22">
        <v>2800</v>
      </c>
      <c r="E4" s="22">
        <v>2800</v>
      </c>
      <c r="F4" s="22">
        <v>2800</v>
      </c>
      <c r="G4" s="22">
        <v>2800</v>
      </c>
      <c r="H4" s="23" t="s">
        <v>41</v>
      </c>
    </row>
    <row r="5" spans="1:9" x14ac:dyDescent="0.45">
      <c r="A5" s="153"/>
      <c r="B5" s="154" t="s">
        <v>42</v>
      </c>
      <c r="C5" s="155"/>
      <c r="D5" s="154" t="s">
        <v>43</v>
      </c>
      <c r="E5" s="156"/>
      <c r="F5" s="156"/>
      <c r="G5" s="155"/>
      <c r="H5" s="23" t="s">
        <v>41</v>
      </c>
    </row>
    <row r="6" spans="1:9" x14ac:dyDescent="0.45">
      <c r="A6" s="24" t="s">
        <v>44</v>
      </c>
      <c r="B6" s="22">
        <f>IF(D1&lt;=20,0,IF(D1&lt;=40,(D1-20)*125,IF(D1&lt;=60,(D1-40)*160+2500,IF(D1&lt;=80,(D1-60)*200+5700,IF(D1&lt;=100,(D1-80)*230+9700,IF(D1&gt;100,(D1-100)*250+14300,""))))))</f>
        <v>0</v>
      </c>
      <c r="C6" s="22">
        <f>IF(D1&lt;=10,0,(D1-10)*230)</f>
        <v>0</v>
      </c>
      <c r="D6" s="22">
        <f>IF(D1&lt;=40,0,IF(D1&lt;=100,(D1-40)*230,IF(D1&gt;100,(D1-100)*250+13800,"")))</f>
        <v>0</v>
      </c>
      <c r="E6" s="22">
        <f>IF(D1&lt;=40,0,IF(D1&lt;=100,(D1-40)*180,IF(D1&gt;100,(D1-100)*200+10800,"")))</f>
        <v>0</v>
      </c>
      <c r="F6" s="22">
        <f>IF(D1&lt;=40,0,(D1-40)*210)</f>
        <v>0</v>
      </c>
      <c r="G6" s="22">
        <f>IF(D1&lt;=40,0,(D1-40)*100)</f>
        <v>0</v>
      </c>
      <c r="H6" s="22">
        <f>D1*125</f>
        <v>0</v>
      </c>
      <c r="I6" s="33"/>
    </row>
    <row r="7" spans="1:9" x14ac:dyDescent="0.45">
      <c r="A7" s="24" t="s">
        <v>45</v>
      </c>
      <c r="B7" s="22">
        <f>(B4*2)+B6</f>
        <v>1400</v>
      </c>
      <c r="C7" s="22">
        <f t="shared" ref="C7:H7" si="0">SUM(C4:C6)</f>
        <v>700</v>
      </c>
      <c r="D7" s="22">
        <f t="shared" si="0"/>
        <v>2800</v>
      </c>
      <c r="E7" s="22">
        <f t="shared" si="0"/>
        <v>2800</v>
      </c>
      <c r="F7" s="22">
        <f t="shared" si="0"/>
        <v>2800</v>
      </c>
      <c r="G7" s="22">
        <f t="shared" si="0"/>
        <v>2800</v>
      </c>
      <c r="H7" s="22">
        <f t="shared" si="0"/>
        <v>0</v>
      </c>
      <c r="I7" s="34" t="s">
        <v>59</v>
      </c>
    </row>
    <row r="8" spans="1:9" x14ac:dyDescent="0.45">
      <c r="A8" s="24" t="s">
        <v>46</v>
      </c>
      <c r="B8" s="22">
        <f>B7*1.1</f>
        <v>1540.0000000000002</v>
      </c>
      <c r="C8" s="22">
        <f t="shared" ref="C8:H8" si="1">C7*1.1</f>
        <v>770.00000000000011</v>
      </c>
      <c r="D8" s="22">
        <f t="shared" si="1"/>
        <v>3080.0000000000005</v>
      </c>
      <c r="E8" s="22">
        <f t="shared" si="1"/>
        <v>3080.0000000000005</v>
      </c>
      <c r="F8" s="22">
        <f t="shared" si="1"/>
        <v>3080.0000000000005</v>
      </c>
      <c r="G8" s="22">
        <f t="shared" si="1"/>
        <v>3080.0000000000005</v>
      </c>
      <c r="H8" s="22">
        <f t="shared" si="1"/>
        <v>0</v>
      </c>
      <c r="I8" s="33"/>
    </row>
    <row r="9" spans="1:9" x14ac:dyDescent="0.45">
      <c r="B9" t="s">
        <v>47</v>
      </c>
      <c r="C9" t="s">
        <v>48</v>
      </c>
    </row>
    <row r="11" spans="1:9" x14ac:dyDescent="0.45">
      <c r="A11" s="24" t="s">
        <v>44</v>
      </c>
      <c r="B11" s="22">
        <f>IF(D1&lt;=10,0,IF(D1&lt;=20,(D1-10)*125,IF(D1&lt;=30,(D1-20)*160+1250,IF(D1&lt;=40,(D1-30)*200+2850,IF(D1&lt;=50,(D1-40)*230+4850,IF(D1&gt;50,(D1-50)*250+7150,""))))))</f>
        <v>0</v>
      </c>
      <c r="C11" s="35"/>
    </row>
    <row r="12" spans="1:9" x14ac:dyDescent="0.45">
      <c r="A12" s="24" t="s">
        <v>45</v>
      </c>
      <c r="B12" s="22">
        <f>B4+B11</f>
        <v>700</v>
      </c>
      <c r="C12" s="36" t="s">
        <v>60</v>
      </c>
    </row>
    <row r="13" spans="1:9" x14ac:dyDescent="0.45">
      <c r="A13" s="24" t="s">
        <v>46</v>
      </c>
      <c r="B13" s="22">
        <f>B12*1.1</f>
        <v>770.00000000000011</v>
      </c>
      <c r="C13" s="35"/>
    </row>
  </sheetData>
  <mergeCells count="3">
    <mergeCell ref="A4:A5"/>
    <mergeCell ref="B5:C5"/>
    <mergeCell ref="D5:G5"/>
  </mergeCells>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更新履歴</vt:lpstr>
      <vt:lpstr>料金比較</vt:lpstr>
      <vt:lpstr>新料金</vt:lpstr>
      <vt:lpstr>1か月検針</vt:lpstr>
      <vt:lpstr>2か月検針</vt:lpstr>
      <vt:lpstr>2か月検針 (比較用)</vt:lpstr>
      <vt:lpstr>１か月検針（比較用）</vt:lpstr>
      <vt:lpstr>旧料金表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2024-04-23T01:14:59Z</dcterms:created>
  <dcterms:modified xsi:type="dcterms:W3CDTF">2024-04-23T01:27:00Z</dcterms:modified>
</cp:coreProperties>
</file>